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Lesehilfe" sheetId="1" state="visible" r:id="rId3"/>
    <sheet name="Ergebnis" sheetId="2" state="visible" r:id="rId4"/>
    <sheet name="Matrix" sheetId="3" state="visible" r:id="rId5"/>
    <sheet name="Annahmen" sheetId="4" state="visible" r:id="rId6"/>
    <sheet name="Zeitreihe" sheetId="5" state="visible" r:id="rId7"/>
    <sheet name="Quellen" sheetId="6" state="visible" r:id="rId8"/>
  </sheets>
  <definedNames>
    <definedName function="false" hidden="false" name="AF_EK" vbProcedure="false">Annahmen!$C$27</definedName>
    <definedName function="false" hidden="false" name="AF_FK" vbProcedure="false">Annahmen!$C$28</definedName>
    <definedName function="false" hidden="false" name="Bewirtschaftung" vbProcedure="false">Annahmen!$C$10</definedName>
    <definedName function="false" hidden="false" name="Diskontsatz" vbProcedure="false">Annahmen!$C$31</definedName>
    <definedName function="false" hidden="false" name="Diskont_Eingabe" vbProcedure="false">Annahmen!$C$19</definedName>
    <definedName function="false" hidden="false" name="Eigenkapital" vbProcedure="false">Annahmen!$C$24</definedName>
    <definedName function="false" hidden="false" name="EK_Quote" vbProcedure="false">Annahmen!$C$12</definedName>
    <definedName function="false" hidden="false" name="Entschaedigung" vbProcedure="false">Annahmen!$C$5</definedName>
    <definedName function="false" hidden="false" name="Flaeche" vbProcedure="false">Annahmen!$C$23</definedName>
    <definedName function="false" hidden="false" name="Flaeche_je_WE" vbProcedure="false">Annahmen!$C$7</definedName>
    <definedName function="false" hidden="false" name="Fremdkapital" vbProcedure="false">Annahmen!$C$25</definedName>
    <definedName function="false" hidden="false" name="HH_Ausgaben" vbProcedure="false">Annahmen!$C$35</definedName>
    <definedName function="false" hidden="false" name="HH_Defizit" vbProcedure="false">Annahmen!$C$36</definedName>
    <definedName function="false" hidden="false" name="HH_Schulden" vbProcedure="false">Annahmen!$C$37</definedName>
    <definedName function="false" hidden="false" name="Horizont" vbProcedure="false">Annahmen!$C$18</definedName>
    <definedName function="false" hidden="false" name="KD_EK_Jahr" vbProcedure="false">Annahmen!$C$29</definedName>
    <definedName function="false" hidden="false" name="KD_FK_Jahr" vbProcedure="false">Annahmen!$C$30</definedName>
    <definedName function="false" hidden="false" name="Kostensteigerung" vbProcedure="false">Annahmen!$C$11</definedName>
    <definedName function="false" hidden="false" name="Laufzeit_EK" vbProcedure="false">Annahmen!$C$15</definedName>
    <definedName function="false" hidden="false" name="Laufzeit_FK" vbProcedure="false">Annahmen!$C$16</definedName>
    <definedName function="false" hidden="false" name="Miete" vbProcedure="false">Annahmen!$C$8</definedName>
    <definedName function="false" hidden="false" name="Mietsteigerung" vbProcedure="false">Annahmen!$C$9</definedName>
    <definedName function="false" hidden="false" name="Nur_Zinsen" vbProcedure="false">Annahmen!$C$26</definedName>
    <definedName function="false" hidden="false" name="S1" vbProcedure="false">Ergebnis!$C$5</definedName>
    <definedName function="false" hidden="false" name="Tilgung" vbProcedure="false">Annahmen!$C$17</definedName>
    <definedName function="false" hidden="false" name="Wohnungen" vbProcedure="false">Annahmen!$C$6</definedName>
    <definedName function="false" hidden="false" name="Zins_EK" vbProcedure="false">Annahmen!$C$13</definedName>
    <definedName function="false" hidden="false" name="Zins_FK" vbProcedure="false">Annahmen!$C$14</definedName>
    <definedName function="false" hidden="false" name="Z_Barwert" vbProcedure="false">Zeitreihe!$S$5:$S$104</definedName>
    <definedName function="false" hidden="false" name="Z_Jahr" vbProcedure="false">Zeitreihe!$A$5:$A$104</definedName>
    <definedName function="false" hidden="false" name="Z_Kum" vbProcedure="false">Zeitreihe!$N$5:$N$104</definedName>
    <definedName function="false" hidden="false" name="Z_MitZuschuss" vbProcedure="false">Zeitreihe!$T$5:$T$104</definedName>
    <definedName function="false" hidden="false" name="Z_Reinertrag" vbProcedure="false">Zeitreihe!$G$5:$G$104</definedName>
    <definedName function="false" hidden="false" name="Z_RestEK" vbProcedure="false">Zeitreihe!$P$5:$P$104</definedName>
    <definedName function="false" hidden="false" name="Z_RestFK" vbProcedure="false">Zeitreihe!$Q$5:$Q$104</definedName>
    <definedName function="false" hidden="false" name="Z_Saldo" vbProcedure="false">Zeitreihe!$O$5:$O$104</definedName>
    <definedName function="false" hidden="false" name="Z_Saldo_LH" vbProcedure="false">Zeitreihe!$K$5:$K$104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<sst xmlns="http://schemas.openxmlformats.org/spreadsheetml/2006/main" count="226" uniqueCount="173">
  <si>
    <t xml:space="preserve">Was kostet die Vergesellschaftung den Berliner Landeshaushalt?</t>
  </si>
  <si>
    <t xml:space="preserve">Rechenblatt zum Online-Rechner auf www.alexanderkriwoluzky.com/vergesellschaftung/ · Alexander Kriwoluzky (DIW Berlin)</t>
  </si>
  <si>
    <t xml:space="preserve">Grundlage</t>
  </si>
  <si>
    <t xml:space="preserve">Dany-Knedlik, Kholodilin, Kritikos, Kriwoluzky (2026): „Vergesellschaftung der Wohnungsunternehmen in Berlin belastet den Haushalt und schafft keine zusätzliche Wohnung“. DIW aktuell Nr. 126, 5.10.2026, Tabelle 2.</t>
  </si>
  <si>
    <t xml:space="preserve">https://www.diw.de/de/diw_01.c.1021274.de/publikationen/diw_aktuell/2026_0126/vergesellschaftung_der_wohnungsunternehmen_in_berlin_belastet_den_haushalt_und_schafft_keine_zusaetzliche_wohnung.html</t>
  </si>
  <si>
    <t xml:space="preserve">Rechenlogik</t>
  </si>
  <si>
    <t xml:space="preserve">Das Land zahlt die Entschädigung. Einen Teil finanziert es als Eigenkapital über eigene Kredite, den Rest nimmt die Anstalt öffentlichen Rechts (AöR) als Kredit auf. Die Mieten minus Bewirtschaftungskosten ergeben den Reinertrag. Reicht er nicht für Zins und Tilgung beider Kredite (Kapitaldienst), muss der Landeshaushalt die Differenz zuschießen. Betrachtet wird konsolidiert (Land + Anstalt).</t>
  </si>
  <si>
    <t xml:space="preserve">Saldo(t) = Reinertrag(t) − Kapitaldienst Land(t) − Kapitaldienst Anstalt(t).  Positiv (grün) = Überschuss, negativ (rot) = Zuschuss aus dem Landeshaushalt, negativ = Überschuss.</t>
  </si>
  <si>
    <t xml:space="preserve">So benutzen Sie die Datei</t>
  </si>
  <si>
    <t xml:space="preserve">1. Ändern Sie nur die blau geschriebenen Zellen im Blatt „Annahmen“ (Spalte C). Gelb hinterlegt sind die wichtigsten Stellschrauben.</t>
  </si>
  <si>
    <t xml:space="preserve">2. Alle anderen Zahlen sind Formeln und rechnen sich automatisch neu. Klicken Sie auf eine Zelle, um die Formel zu sehen. Die Formeln verwenden benannte Zellen (z. B. Entschaedigung, Zins_EK), damit sie lesbar bleiben.</t>
  </si>
  <si>
    <t xml:space="preserve">3. „Ergebnis“ zeigt die Kennzahlen und die Einordnung in den Landeshaushalt, „Zeitreihe“ die Rechnung Jahr für Jahr, „Matrix“ den Saldo im ersten Jahr für mehrere Entschädigungen und Mieten (wie Tabelle 2 im DIW aktuell, dort mit umgekehrtem Vorzeichen).</t>
  </si>
  <si>
    <t xml:space="preserve">4. Mit den Standardwerten entspricht das erste Jahr Tabelle 2 im DIW aktuell (13,5 Mrd. €, 7 € Miete). Ab dem zweiten Jahr steigen die Mieten um 1 % pro Jahr (änderbar) und die Bewirtschaftungskosten fest um 2 % pro Jahr, das Inflationsziel der EZB.</t>
  </si>
  <si>
    <t xml:space="preserve">Farblegende</t>
  </si>
  <si>
    <t xml:space="preserve">Blaue Schrift: Eingabe (frei änderbar) · Schwarze Schrift: Formel · Grüne Schrift: Verweis auf ein anderes Blatt · Gelber Hintergrund: zentrale Annahme</t>
  </si>
  <si>
    <t xml:space="preserve">Einheiten</t>
  </si>
  <si>
    <t xml:space="preserve">Beträge in Mio. € pro Jahr (nominal), sofern nicht anders angegeben. Mieten und Kosten in € je m² Wohnfläche und Monat.</t>
  </si>
  <si>
    <t xml:space="preserve">Methodische Grenzen</t>
  </si>
  <si>
    <t xml:space="preserve">Gezeigt wird nur die direkte Haushaltswirkung. Nicht enthalten: Rechtsrisiko einer Entschädigung unter dem Verkehrswert, Kosten einer Landesbürgschaft im Krisenfall, steuerliche Rückwirkungen, Transaktions- und Aufbaukosten der Anstalt, Leerstand, Marktwirkungen (Neubau, Umzugsmobilität, Mieten im übrigen Markt), Zinsänderungsrisiko (Zinsen fest über die Laufzeit). Bestand konstant, keine Verkäufe, kein Neubau durch die Anstalt.</t>
  </si>
  <si>
    <t xml:space="preserve">Ergebnis</t>
  </si>
  <si>
    <t xml:space="preserve">Alle Werte sind Formeln auf Basis des Blatts „Annahmen“.</t>
  </si>
  <si>
    <t xml:space="preserve">Saldo für den Landeshaushalt im ersten Jahr</t>
  </si>
  <si>
    <t xml:space="preserve">Wert</t>
  </si>
  <si>
    <t xml:space="preserve">Einheit</t>
  </si>
  <si>
    <t xml:space="preserve">Formel in Worten</t>
  </si>
  <si>
    <t xml:space="preserve">Saldo im ersten Jahr</t>
  </si>
  <si>
    <t xml:space="preserve">Mio. €</t>
  </si>
  <si>
    <t xml:space="preserve">Reinertrag − Kapitaldienst im Jahr 1 (&gt; 0: Überschuss, &lt; 0: Zuschuss)</t>
  </si>
  <si>
    <t xml:space="preserve">je m² Wohnfläche und Monat</t>
  </si>
  <si>
    <t xml:space="preserve">€</t>
  </si>
  <si>
    <t xml:space="preserve">Saldo / Fläche / 12</t>
  </si>
  <si>
    <t xml:space="preserve">je Wohnung und Monat</t>
  </si>
  <si>
    <t xml:space="preserve">Saldo / Wohnungen / 12</t>
  </si>
  <si>
    <t xml:space="preserve">Reinertrag im ersten Jahr</t>
  </si>
  <si>
    <t xml:space="preserve">(Miete − Bewirtschaftung) × Fläche × 12</t>
  </si>
  <si>
    <t xml:space="preserve">Kapitaldienst Land (Eigenkapital-Kredit)</t>
  </si>
  <si>
    <t xml:space="preserve">Eigenkapital × Annuitätenfaktor</t>
  </si>
  <si>
    <t xml:space="preserve">Kapitaldienst Anstalt</t>
  </si>
  <si>
    <t xml:space="preserve">Fremdkapital × Annuitätenfaktor</t>
  </si>
  <si>
    <t xml:space="preserve">Saldo der Anstalt</t>
  </si>
  <si>
    <t xml:space="preserve">Reinertrag − Kapitaldienst Anstalt (&lt; 0: Land muss decken)</t>
  </si>
  <si>
    <t xml:space="preserve">Einordnung des Zuschusses im ersten Jahr (0, wenn kein Zuschuss)</t>
  </si>
  <si>
    <t xml:space="preserve">in % der bereinigten Ausgaben 2027</t>
  </si>
  <si>
    <t xml:space="preserve">%</t>
  </si>
  <si>
    <t xml:space="preserve">in % des Finanzierungsdefizits 2026</t>
  </si>
  <si>
    <t xml:space="preserve">Über den Betrachtungszeitraum</t>
  </si>
  <si>
    <t xml:space="preserve">Betrachtungszeitraum</t>
  </si>
  <si>
    <t xml:space="preserve">Jahre</t>
  </si>
  <si>
    <t xml:space="preserve">Summe der Zuschüsse (nur Jahre mit Zuschuss)</t>
  </si>
  <si>
    <t xml:space="preserve">Summe aller Jahre mit negativem Saldo, als Betrag</t>
  </si>
  <si>
    <t xml:space="preserve">Saldo über den Zeitraum (Überschüsse − Zuschüsse)</t>
  </si>
  <si>
    <t xml:space="preserve">Summe aller Jahressalden</t>
  </si>
  <si>
    <t xml:space="preserve">Barwert des Saldos</t>
  </si>
  <si>
    <t xml:space="preserve">abgezinst mit dem Diskontsatz (Blatt Annahmen)</t>
  </si>
  <si>
    <t xml:space="preserve">Saldo im letzten Jahr</t>
  </si>
  <si>
    <t xml:space="preserve">Zahl der Jahre mit Zuschuss</t>
  </si>
  <si>
    <t xml:space="preserve">Dauerhaft ohne Zuschuss ab Jahr</t>
  </si>
  <si>
    <t xml:space="preserve">Jahr</t>
  </si>
  <si>
    <t xml:space="preserve">erstes Jahr, nach dem kein Zuschuss mehr nötig ist</t>
  </si>
  <si>
    <t xml:space="preserve">Wann trägt sich die Vergesellschaftung im ersten Jahr?</t>
  </si>
  <si>
    <t xml:space="preserve">Höchste Entschädigung, die sich bei dieser Miete trägt</t>
  </si>
  <si>
    <t xml:space="preserve">Mrd. €</t>
  </si>
  <si>
    <t xml:space="preserve">Reinertrag / [q · AF(Zins Land) + (1 − q) · AF(Zins Anstalt)]</t>
  </si>
  <si>
    <t xml:space="preserve">Mindestmiete bei dieser Entschädigung</t>
  </si>
  <si>
    <t xml:space="preserve">€/m² und Monat</t>
  </si>
  <si>
    <t xml:space="preserve">Bewirtschaftung + Kapitaldienst je m² und Monat</t>
  </si>
  <si>
    <t xml:space="preserve">Matrix: Saldo im ersten Jahr nach Entschädigung und Miete</t>
  </si>
  <si>
    <t xml:space="preserve">Zinsen, Eigenkapitalquote, Laufzeiten, Bestand und Bewirtschaftungskosten aus dem Blatt „Annahmen“. Mit den Standardwerten entspricht das Tabelle 2 im DIW aktuell Nr. 126. Zeilen- und Spaltenköpfe (blau) sind änderbar.</t>
  </si>
  <si>
    <t xml:space="preserve">Kapitaldienst je Mrd. € Entschädigung (Mio. € pro Jahr)</t>
  </si>
  <si>
    <t xml:space="preserve">Mio. € pro Jahr</t>
  </si>
  <si>
    <t xml:space="preserve">Entschädigung (Mrd. €) \ Miete (€/m²)</t>
  </si>
  <si>
    <t xml:space="preserve">€ je m² Wohnfläche und Monat</t>
  </si>
  <si>
    <t xml:space="preserve">Positiv: Überschuss. Negativ (rot): Zuschuss aus dem Landeshaushalt. Im DIW aktuell sind die Vorzeichen umgekehrt.</t>
  </si>
  <si>
    <t xml:space="preserve">Mieten: 6,00 Untergrenze einkommensabhängiger Mieten im kommunalen Neubau (Wahlprogramm Die Linke 2026) · 7,00 ≈ Ø Miete der landeseigenen Unternehmen · 8,00 ≈ heutiges Niveau in den Beständen.</t>
  </si>
  <si>
    <t xml:space="preserve">Annahmen</t>
  </si>
  <si>
    <t xml:space="preserve">Nur blaue Zellen in Spalte C ändern. Spalte D zeigt den Standardwert des Online-Rechners.</t>
  </si>
  <si>
    <t xml:space="preserve">Parameter</t>
  </si>
  <si>
    <t xml:space="preserve">Standard</t>
  </si>
  <si>
    <t xml:space="preserve">Quelle / Herleitung</t>
  </si>
  <si>
    <t xml:space="preserve">Entschädigung</t>
  </si>
  <si>
    <t xml:space="preserve">Spannweite der Schätzungen 8–36 Mrd. €: Initiative DWE 8/11; Holm et al. (2025) 10,1 (realitätsnah 10–17); IMK (2026) 13,5; Sondierungspapier Linke/Grüne/SPD (Okt. 2026) Obergrenze 16 für rund 160.000 Wohnungen; Rechnungshof Berlin (2024) 8/11/29/36; Senat (2019/20) Verkehrswert 29–36 (bis 39,5).</t>
  </si>
  <si>
    <t xml:space="preserve">Zahl der Wohnungen</t>
  </si>
  <si>
    <t xml:space="preserve">Wohnungen</t>
  </si>
  <si>
    <t xml:space="preserve">Rechnungshof Berlin (2024), Holm et al. (2025). Alternativen: IMK / DWE-Gesetzentwurf 2025: 210.000; Sondierungspapier Linke/Grüne/SPD 2026: rund 160.000 (Unternehmen &gt; 10.000 Wohnungen).</t>
  </si>
  <si>
    <t xml:space="preserve">Ø Wohnfläche je Wohnung</t>
  </si>
  <si>
    <t xml:space="preserve">m²</t>
  </si>
  <si>
    <t xml:space="preserve">Rechnungshof Berlin (2024). Alternative IMK: 63 m².</t>
  </si>
  <si>
    <t xml:space="preserve">Nettokaltmiete im ersten Jahr</t>
  </si>
  <si>
    <t xml:space="preserve">6,00 Untergrenze einkommensabh. Mieten kommunaler Neubau (Wahlprogramm Die Linke 2026) · 7,00 ≈ Ø landeseigene Unternehmen 2025 (7,11; DIW aktuell Nr. 126), Grundmodell Holm et al. · 7,08 Ø LWU (IMK 2026) · ≈ 8,00 heutiges Niveau in den Beständen (DIW aktuell Nr. 126 nach Geschäftsberichten von Adler, Grand City Properties, Vonovia).</t>
  </si>
  <si>
    <t xml:space="preserve">Mietsteigerung pro Jahr</t>
  </si>
  <si>
    <t xml:space="preserve">% p.a.</t>
  </si>
  <si>
    <t xml:space="preserve">Ab dem zweiten Jahr. 1 % wie politisch debattiert (Wahlprogramm Die Linke Berlin 2026: Mieterhöhungen der LWU max. 1 % p.a.; auch Holm et al. 2025, Grundmodell).</t>
  </si>
  <si>
    <t xml:space="preserve">Bewirtschaftungskosten im ersten Jahr</t>
  </si>
  <si>
    <t xml:space="preserve">Holm et al. (2025), Tab. 5 (LWU): Instandhaltung 1,77 + Modernisierung 1,00 + Verwaltung 0,52 + Mietausfallwagnis 0,14 + nicht umlagefähige Betriebskosten 0,30. Alternativen: 2,94 (Holm Basis), 3,66 (IMK), 4,40 (IW Köln), 4,44 (Holm Plus).</t>
  </si>
  <si>
    <t xml:space="preserve">Kostensteigerung pro Jahr (fest)</t>
  </si>
  <si>
    <t xml:space="preserve">Fest: Inflationsziel der EZB. Im Online-Rechner nicht veränderbar.</t>
  </si>
  <si>
    <t xml:space="preserve">Eigenkapitalquote (Land, kreditfinanziert)</t>
  </si>
  <si>
    <t xml:space="preserve">Anteil</t>
  </si>
  <si>
    <t xml:space="preserve">Holm et al. (2025): 20 %; IMK (2026): 30 %.</t>
  </si>
  <si>
    <t xml:space="preserve">Zins auf den Eigenkapital-Kredit des Landes</t>
  </si>
  <si>
    <t xml:space="preserve">30-jährige Bundesanleihe 3,79 % (Bundesbank, 20.10.2026) + Berlin-Aufschlag ≈ 0,2 Prozentpunkte ≈ 4 %.</t>
  </si>
  <si>
    <t xml:space="preserve">Zins auf die Kredite der Anstalt</t>
  </si>
  <si>
    <t xml:space="preserve">Bundesanleihen mittlerer Laufzeit ≈ 3,3 % (Bundesbank, 20.10.2026) + rund 1 Prozentpunkt Aufschlag (HOWOGE-Anleihe, 7 J. Restlaufzeit); 5 % vorsichtig gerundet. Holm et al. (2025): +1,5 bis +2,0 Prozentpunkte. Sensitivität: Zinsen jeweils +1 Pp.</t>
  </si>
  <si>
    <t xml:space="preserve">Laufzeit Eigenkapital-Kredit</t>
  </si>
  <si>
    <t xml:space="preserve">DIW aktuell: 50 Jahre; IMK: 40; Holm: 30/60/90.</t>
  </si>
  <si>
    <t xml:space="preserve">Laufzeit Kredite der Anstalt</t>
  </si>
  <si>
    <t xml:space="preserve">wie oben</t>
  </si>
  <si>
    <t xml:space="preserve">Tilgungsform</t>
  </si>
  <si>
    <t xml:space="preserve">Annuität</t>
  </si>
  <si>
    <t xml:space="preserve">Annuität / nur Zinsen</t>
  </si>
  <si>
    <t xml:space="preserve">„nur Zinsen“: Kredite werden dauerhaft verlängert, die Schuld bleibt in voller Höhe bestehen.</t>
  </si>
  <si>
    <t xml:space="preserve">Jahre (1–100)</t>
  </si>
  <si>
    <t xml:space="preserve">Für Summen, Barwert und Zeitreihe.</t>
  </si>
  <si>
    <t xml:space="preserve">Diskontsatz für den Barwert (leer = Zins Land)</t>
  </si>
  <si>
    <t xml:space="preserve">Leer lassen, um mit dem Zins des Landes zu diskontieren.</t>
  </si>
  <si>
    <t xml:space="preserve">Abgeleitete Größen (Formeln)</t>
  </si>
  <si>
    <t xml:space="preserve">Größe</t>
  </si>
  <si>
    <t xml:space="preserve">Gesamtwohnfläche</t>
  </si>
  <si>
    <t xml:space="preserve">Wohnungen × Wohnfläche je Wohnung</t>
  </si>
  <si>
    <t xml:space="preserve">Eigenkapital des Landes (kreditfinanziert)</t>
  </si>
  <si>
    <t xml:space="preserve">Eigenkapitalquote × Entschädigung</t>
  </si>
  <si>
    <t xml:space="preserve">Kredite der Anstalt</t>
  </si>
  <si>
    <t xml:space="preserve">(1 − Eigenkapitalquote) × Entschädigung</t>
  </si>
  <si>
    <t xml:space="preserve">Nur Zinsen? (1 = ja)</t>
  </si>
  <si>
    <t xml:space="preserve">Annuitätenfaktor Eigenkapital-Kredit</t>
  </si>
  <si>
    <t xml:space="preserve">r / (1 − (1 + r)^−n); bei r = 0: 1/n</t>
  </si>
  <si>
    <t xml:space="preserve">Annuitätenfaktor Kredite der Anstalt</t>
  </si>
  <si>
    <t xml:space="preserve">Kapitaldienst Land pro Jahr (solange getilgt wird)</t>
  </si>
  <si>
    <t xml:space="preserve">Eigenkapital × Annuitätenfaktor (bzw. × Zins)</t>
  </si>
  <si>
    <t xml:space="preserve">Kapitaldienst Anstalt pro Jahr (solange getilgt wird)</t>
  </si>
  <si>
    <t xml:space="preserve">Fremdkapital × Annuitätenfaktor (bzw. × Zins)</t>
  </si>
  <si>
    <t xml:space="preserve">Diskontsatz (verwendet)</t>
  </si>
  <si>
    <t xml:space="preserve">Eingabe oder Zins Land</t>
  </si>
  <si>
    <t xml:space="preserve">Vergleichsgrößen Landeshaushalt</t>
  </si>
  <si>
    <t xml:space="preserve">Quelle</t>
  </si>
  <si>
    <t xml:space="preserve">Bereinigte Ausgaben des Landes 2027</t>
  </si>
  <si>
    <t xml:space="preserve">Doppelhaushalt 2026/27, Pressemitteilung SenFin Nr. 21 vom 19.12.2025; 2026: knapp 45 Mrd. € (wie DIW aktuell Nr. 126)</t>
  </si>
  <si>
    <t xml:space="preserve">Finanzierungsdefizit 2026</t>
  </si>
  <si>
    <t xml:space="preserve">Statusbericht Senat zur Haushaltslage, 1.9.2026 (Einnahmen 39,1, Ausgaben 43,7 Mrd. €)</t>
  </si>
  <si>
    <t xml:space="preserve">Schuldenstand des Landes</t>
  </si>
  <si>
    <t xml:space="preserve">Senatsverwaltung für Finanzen; steigt bis 2027 auf über 75 Mrd. €</t>
  </si>
  <si>
    <t xml:space="preserve">Zeitreihe: Rechnung Jahr für Jahr (Mio. € pro Jahr, nominal)</t>
  </si>
  <si>
    <t xml:space="preserve">Zeilen jenseits des Betrachtungszeitraums bleiben leer. Saldo positiv = Überschuss, negativ = Zuschuss aus dem Landeshaushalt.</t>
  </si>
  <si>
    <t xml:space="preserve">Im Zeitraum (1 = ja)</t>
  </si>
  <si>
    <t xml:space="preserve">Miete €/m²/Monat</t>
  </si>
  <si>
    <t xml:space="preserve">Bewirtschaftung €/m²/Monat</t>
  </si>
  <si>
    <t xml:space="preserve">Mieteinnahmen</t>
  </si>
  <si>
    <t xml:space="preserve">Bewirtschaftungskosten</t>
  </si>
  <si>
    <t xml:space="preserve">Reinertrag</t>
  </si>
  <si>
    <t xml:space="preserve">Kapitaldienst Land (EK-Kredit)</t>
  </si>
  <si>
    <t xml:space="preserve">Kapitaldienst gesamt</t>
  </si>
  <si>
    <t xml:space="preserve">Saldo Landeshaushalt (+ Überschuss, − Zuschuss)</t>
  </si>
  <si>
    <t xml:space="preserve">Saldo €/m²/Monat</t>
  </si>
  <si>
    <t xml:space="preserve">Saldo € je Wohnung/Monat</t>
  </si>
  <si>
    <t xml:space="preserve">Saldo kumuliert</t>
  </si>
  <si>
    <t xml:space="preserve">Saldo Anstalt (Reinertrag − KD Anstalt)</t>
  </si>
  <si>
    <t xml:space="preserve">Restschuld EK-Kredit</t>
  </si>
  <si>
    <t xml:space="preserve">Restschuld Anstalt</t>
  </si>
  <si>
    <t xml:space="preserve">Diskontfaktor</t>
  </si>
  <si>
    <t xml:space="preserve">Jahr mit Zuschuss</t>
  </si>
  <si>
    <t xml:space="preserve">Quellen</t>
  </si>
  <si>
    <t xml:space="preserve">Dany-Knedlik, G., Kholodilin, K. A., Kritikos, A. S., Kriwoluzky, A. (2026): Vergesellschaftung der Wohnungsunternehmen in Berlin belastet den Haushalt und schafft keine zusätzliche Wohnung. DIW aktuell Nr. 126, 5.10.2026, ISSN 2567-3971. https://www.diw.de/de/diw_01.c.1021274.de/publikationen/diw_aktuell/2026_0126/vergesellschaftung_der_wohnungsunternehmen_in_berlin_belastet_den_haushalt_und_schafft_keine_zusaetzliche_wohnung.html</t>
  </si>
  <si>
    <t xml:space="preserve">Dullien, S., Kaczmarczyk, P., Krebs, T., Truger, A. (2026): Die Überführung von großen Wohnungsbeständen ins Gemeineigentum. IMK Policy Brief Nr. 225.</t>
  </si>
  <si>
    <t xml:space="preserve">Holm, A. et al. (2025): Refinanzierungsoptionen in vergesellschafteten Wohnungsbeständen. Studie im Auftrag von Deutsche Wohnen &amp; Co enteignen.</t>
  </si>
  <si>
    <t xml:space="preserve">Rechnungshof von Berlin (2024): Auswirkungen einer Vergesellschaftung großer Wohnungsunternehmen auf den Landeshaushalt.</t>
  </si>
  <si>
    <t xml:space="preserve">Deschermeier, P., Voigtländer, M. (2026): Auswirkungen der Vergesellschaftung privater Wohnungsunternehmen in Berlin. IW Köln.</t>
  </si>
  <si>
    <t xml:space="preserve">Simons, H. (2026): Auswirkungen einer Vergesellschaftung. empirica.</t>
  </si>
  <si>
    <t xml:space="preserve">Expertenkommission Vergesellschaftung (2023): Abschlussbericht.</t>
  </si>
  <si>
    <t xml:space="preserve">Initiative Deutsche Wohnen &amp; Co enteignen (2025): Vergesellschaftungsgesetz (Entwurf, 26.9.2025). https://dwenteignen.de/unser-gesetz</t>
  </si>
  <si>
    <t xml:space="preserve">Die Linke Berlin (2026): Wahlprogramm zur Abgeordnetenhauswahl 2026.</t>
  </si>
  <si>
    <t xml:space="preserve">Senatskanzlei Berlin (1.9.2026): Statusbericht zur Haushaltslage.</t>
  </si>
  <si>
    <t xml:space="preserve">Senatsverwaltung für Finanzen: Doppelhaushalt 2026/2027; Umsetzung der Schuldenbremse im Land Berlin.</t>
  </si>
  <si>
    <t xml:space="preserve">Deutsche Bundesbank: Renditen börsennotierter Bundeswertpapiere (Stand 20.10.2026).</t>
  </si>
</sst>
</file>

<file path=xl/styles.xml><?xml version="1.0" encoding="utf-8"?>
<styleSheet xmlns="http://schemas.openxmlformats.org/spreadsheetml/2006/main">
  <numFmts count="17">
    <numFmt numFmtId="164" formatCode="General"/>
    <numFmt numFmtId="165" formatCode="\+#,##0;[RED]\-#,##0;0"/>
    <numFmt numFmtId="166" formatCode="\+0.00;[RED]\-0.00;0.00"/>
    <numFmt numFmtId="167" formatCode="#,##0"/>
    <numFmt numFmtId="168" formatCode="0.0%;[RED]\-0.0%"/>
    <numFmt numFmtId="169" formatCode="0"/>
    <numFmt numFmtId="170" formatCode="#,##0.0"/>
    <numFmt numFmtId="171" formatCode="0.00"/>
    <numFmt numFmtId="172" formatCode="#,##0.00"/>
    <numFmt numFmtId="173" formatCode="0.0%"/>
    <numFmt numFmtId="174" formatCode="0.00%"/>
    <numFmt numFmtId="175" formatCode="@"/>
    <numFmt numFmtId="176" formatCode="0.00000"/>
    <numFmt numFmtId="177" formatCode="\+#,##0.0;[RED]\-#,##0.0"/>
    <numFmt numFmtId="178" formatCode="\+0.00;[RED]\-0.00"/>
    <numFmt numFmtId="179" formatCode="\+#,##0;[RED]\-#,##0"/>
    <numFmt numFmtId="180" formatCode="0.0000"/>
  </numFmts>
  <fonts count="14">
    <font>
      <sz val="11"/>
      <color theme="1"/>
      <name val="Calibri"/>
      <family val="2"/>
      <charset val="1"/>
    </font>
    <font>
      <sz val="10"/>
      <name val="Arial"/>
      <family val="0"/>
    </font>
    <font>
      <sz val="10"/>
      <name val="Arial"/>
      <family val="0"/>
    </font>
    <font>
      <sz val="10"/>
      <name val="Arial"/>
      <family val="0"/>
    </font>
    <font>
      <b val="true"/>
      <sz val="14"/>
      <color rgb="FF00786B"/>
      <name val="Arial"/>
      <family val="0"/>
      <charset val="1"/>
    </font>
    <font>
      <i val="true"/>
      <sz val="9"/>
      <color rgb="FF555555"/>
      <name val="Arial"/>
      <family val="0"/>
      <charset val="1"/>
    </font>
    <font>
      <sz val="10"/>
      <name val="Arial"/>
      <family val="0"/>
      <charset val="1"/>
    </font>
    <font>
      <b val="true"/>
      <sz val="11"/>
      <color rgb="FF00786B"/>
      <name val="Arial"/>
      <family val="0"/>
      <charset val="1"/>
    </font>
    <font>
      <b val="true"/>
      <sz val="10"/>
      <name val="Arial"/>
      <family val="0"/>
      <charset val="1"/>
    </font>
    <font>
      <sz val="9"/>
      <name val="Arial"/>
      <family val="0"/>
      <charset val="1"/>
    </font>
    <font>
      <sz val="10"/>
      <color rgb="FF008000"/>
      <name val="Arial"/>
      <family val="0"/>
      <charset val="1"/>
    </font>
    <font>
      <b val="true"/>
      <sz val="10"/>
      <color rgb="FF0000FF"/>
      <name val="Arial"/>
      <family val="0"/>
      <charset val="1"/>
    </font>
    <font>
      <sz val="10"/>
      <color rgb="FF777777"/>
      <name val="Arial"/>
      <family val="0"/>
      <charset val="1"/>
    </font>
    <font>
      <sz val="10"/>
      <color rgb="FF0000FF"/>
      <name val="Arial"/>
      <family val="0"/>
      <charset val="1"/>
    </font>
  </fonts>
  <fills count="5">
    <fill>
      <patternFill patternType="none"/>
    </fill>
    <fill>
      <patternFill patternType="gray125"/>
    </fill>
    <fill>
      <patternFill patternType="solid">
        <fgColor rgb="FFE3F2EF"/>
        <bgColor rgb="FFF4F4F4"/>
      </patternFill>
    </fill>
    <fill>
      <patternFill patternType="solid">
        <fgColor rgb="FFF4F4F4"/>
        <bgColor rgb="FFE3F2EF"/>
      </patternFill>
    </fill>
    <fill>
      <patternFill patternType="solid">
        <fgColor rgb="FFFFF2B3"/>
        <bgColor rgb="FFFFFF99"/>
      </patternFill>
    </fill>
  </fills>
  <borders count="2">
    <border diagonalUp="false" diagonalDown="false">
      <left/>
      <right/>
      <top/>
      <bottom/>
      <diagonal/>
    </border>
    <border diagonalUp="false" diagonalDown="false">
      <left/>
      <right/>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71" fontId="11" fillId="2" borderId="0" xfId="0" applyFont="true" applyBorder="false" applyAlignment="true" applyProtection="false">
      <alignment horizontal="center"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center" vertical="bottom" textRotation="0" wrapText="false" indent="0" shrinkToFit="false"/>
      <protection locked="true" hidden="false"/>
    </xf>
    <xf numFmtId="171" fontId="8" fillId="2" borderId="0" xfId="0" applyFont="true" applyBorder="false" applyAlignment="true" applyProtection="false">
      <alignment horizontal="center"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70" fontId="11" fillId="4"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71" fontId="11" fillId="4"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73" fontId="11" fillId="4" borderId="0" xfId="0" applyFont="true" applyBorder="false" applyAlignment="false" applyProtection="false">
      <alignment horizontal="general" vertical="bottom" textRotation="0" wrapText="false" indent="0" shrinkToFit="false"/>
      <protection locked="true" hidden="false"/>
    </xf>
    <xf numFmtId="173" fontId="12" fillId="0" borderId="0" xfId="0" applyFont="true" applyBorder="false" applyAlignment="false" applyProtection="false">
      <alignment horizontal="general" vertical="bottom" textRotation="0" wrapText="false" indent="0" shrinkToFit="false"/>
      <protection locked="true" hidden="false"/>
    </xf>
    <xf numFmtId="171" fontId="13"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3" fontId="13" fillId="0" borderId="0" xfId="0" applyFont="true" applyBorder="false" applyAlignment="false" applyProtection="false">
      <alignment horizontal="general" vertical="bottom" textRotation="0" wrapText="false" indent="0" shrinkToFit="false"/>
      <protection locked="true" hidden="false"/>
    </xf>
    <xf numFmtId="174" fontId="11" fillId="4" borderId="0" xfId="0" applyFont="true" applyBorder="false" applyAlignment="false" applyProtection="false">
      <alignment horizontal="general" vertical="bottom" textRotation="0" wrapText="false" indent="0" shrinkToFit="false"/>
      <protection locked="true" hidden="false"/>
    </xf>
    <xf numFmtId="174" fontId="12" fillId="0" borderId="0" xfId="0" applyFont="true" applyBorder="false" applyAlignment="false" applyProtection="false">
      <alignment horizontal="general" vertical="bottom" textRotation="0" wrapText="false" indent="0" shrinkToFit="false"/>
      <protection locked="true" hidden="false"/>
    </xf>
    <xf numFmtId="169" fontId="13"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75" fontId="13" fillId="0" borderId="0" xfId="0" applyFont="true" applyBorder="false" applyAlignment="false" applyProtection="false">
      <alignment horizontal="general" vertical="bottom" textRotation="0" wrapText="false" indent="0" shrinkToFit="false"/>
      <protection locked="true" hidden="false"/>
    </xf>
    <xf numFmtId="175" fontId="12" fillId="0" borderId="0" xfId="0" applyFont="true" applyBorder="false" applyAlignment="false" applyProtection="false">
      <alignment horizontal="general" vertical="bottom" textRotation="0" wrapText="false" indent="0" shrinkToFit="false"/>
      <protection locked="true" hidden="false"/>
    </xf>
    <xf numFmtId="174" fontId="13" fillId="0" borderId="0" xfId="0" applyFont="true" applyBorder="false" applyAlignment="false" applyProtection="false">
      <alignment horizontal="general" vertical="bottom" textRotation="0" wrapText="false" indent="0" shrinkToFit="false"/>
      <protection locked="true" hidden="false"/>
    </xf>
    <xf numFmtId="176" fontId="6"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true" indent="0"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78" fontId="6" fillId="0" borderId="0" xfId="0" applyFont="true" applyBorder="false" applyAlignment="false" applyProtection="false">
      <alignment horizontal="general" vertical="bottom" textRotation="0" wrapText="false" indent="0" shrinkToFit="false"/>
      <protection locked="true" hidden="false"/>
    </xf>
    <xf numFmtId="179" fontId="6" fillId="0" borderId="0" xfId="0" applyFont="true" applyBorder="false" applyAlignment="false" applyProtection="false">
      <alignment horizontal="general" vertical="bottom" textRotation="0" wrapText="false" indent="0" shrinkToFit="false"/>
      <protection locked="true" hidden="false"/>
    </xf>
    <xf numFmtId="180"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4F4F4"/>
      <rgbColor rgb="FFFF0000"/>
      <rgbColor rgb="FF00FF00"/>
      <rgbColor rgb="FF0000FF"/>
      <rgbColor rgb="FFFFFF00"/>
      <rgbColor rgb="FFFF00FF"/>
      <rgbColor rgb="FF00FFFF"/>
      <rgbColor rgb="FF800000"/>
      <rgbColor rgb="FF008000"/>
      <rgbColor rgb="FF000080"/>
      <rgbColor rgb="FF808000"/>
      <rgbColor rgb="FF800080"/>
      <rgbColor rgb="FF00786B"/>
      <rgbColor rgb="FFBBBBBB"/>
      <rgbColor rgb="FF777777"/>
      <rgbColor rgb="FF9999FF"/>
      <rgbColor rgb="FF993366"/>
      <rgbColor rgb="FFFFF2B3"/>
      <rgbColor rgb="FFE3F2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6FC8B6"/>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7.3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23.85" hidden="false" customHeight="false" outlineLevel="0" collapsed="false">
      <c r="B5" s="3" t="s">
        <v>3</v>
      </c>
    </row>
    <row r="6" customFormat="false" ht="22.35" hidden="false" customHeight="false" outlineLevel="0" collapsed="false">
      <c r="B6" s="2" t="s">
        <v>4</v>
      </c>
    </row>
    <row r="7" customFormat="false" ht="15" hidden="false" customHeight="false" outlineLevel="0" collapsed="false">
      <c r="B7" s="3"/>
    </row>
    <row r="8" customFormat="false" ht="15" hidden="false" customHeight="false" outlineLevel="0" collapsed="false">
      <c r="B8" s="4" t="s">
        <v>5</v>
      </c>
    </row>
    <row r="9" customFormat="false" ht="35.05" hidden="false" customHeight="false" outlineLevel="0" collapsed="false">
      <c r="B9" s="3" t="s">
        <v>6</v>
      </c>
    </row>
    <row r="10" customFormat="false" ht="23.85" hidden="false" customHeight="false" outlineLevel="0" collapsed="false">
      <c r="B10" s="5" t="s">
        <v>7</v>
      </c>
    </row>
    <row r="11" customFormat="false" ht="15" hidden="false" customHeight="false" outlineLevel="0" collapsed="false">
      <c r="B11" s="3"/>
    </row>
    <row r="12" customFormat="false" ht="15" hidden="false" customHeight="false" outlineLevel="0" collapsed="false">
      <c r="B12" s="4" t="s">
        <v>8</v>
      </c>
    </row>
    <row r="13" customFormat="false" ht="15" hidden="false" customHeight="false" outlineLevel="0" collapsed="false">
      <c r="B13" s="3" t="s">
        <v>9</v>
      </c>
    </row>
    <row r="14" customFormat="false" ht="23.85" hidden="false" customHeight="false" outlineLevel="0" collapsed="false">
      <c r="B14" s="3" t="s">
        <v>10</v>
      </c>
    </row>
    <row r="15" customFormat="false" ht="23.85" hidden="false" customHeight="false" outlineLevel="0" collapsed="false">
      <c r="B15" s="3" t="s">
        <v>11</v>
      </c>
    </row>
    <row r="16" customFormat="false" ht="23.85" hidden="false" customHeight="false" outlineLevel="0" collapsed="false">
      <c r="B16" s="3" t="s">
        <v>12</v>
      </c>
    </row>
    <row r="17" customFormat="false" ht="15" hidden="false" customHeight="false" outlineLevel="0" collapsed="false">
      <c r="B17" s="3"/>
    </row>
    <row r="18" customFormat="false" ht="15" hidden="false" customHeight="false" outlineLevel="0" collapsed="false">
      <c r="B18" s="4" t="s">
        <v>13</v>
      </c>
    </row>
    <row r="19" customFormat="false" ht="23.85" hidden="false" customHeight="false" outlineLevel="0" collapsed="false">
      <c r="B19" s="3" t="s">
        <v>14</v>
      </c>
    </row>
    <row r="20" customFormat="false" ht="15" hidden="false" customHeight="false" outlineLevel="0" collapsed="false">
      <c r="B20" s="3"/>
    </row>
    <row r="21" customFormat="false" ht="15" hidden="false" customHeight="false" outlineLevel="0" collapsed="false">
      <c r="B21" s="4" t="s">
        <v>15</v>
      </c>
    </row>
    <row r="22" customFormat="false" ht="15" hidden="false" customHeight="false" outlineLevel="0" collapsed="false">
      <c r="B22" s="3" t="s">
        <v>16</v>
      </c>
    </row>
    <row r="23" customFormat="false" ht="15" hidden="false" customHeight="false" outlineLevel="0" collapsed="false">
      <c r="B23" s="3"/>
    </row>
    <row r="24" customFormat="false" ht="15" hidden="false" customHeight="false" outlineLevel="0" collapsed="false">
      <c r="B24" s="4" t="s">
        <v>17</v>
      </c>
    </row>
    <row r="25" customFormat="false" ht="46.25" hidden="false" customHeight="false" outlineLevel="0" collapsed="false">
      <c r="B25"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FC8B6"/>
    <pageSetUpPr fitToPage="false"/>
  </sheetPr>
  <dimension ref="B1:E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8"/>
    <col collapsed="false" customWidth="true" hidden="false" outlineLevel="0" max="3" min="3" style="0" width="16"/>
    <col collapsed="false" customWidth="true" hidden="false" outlineLevel="0" max="4" min="4" style="0" width="18"/>
    <col collapsed="false" customWidth="true" hidden="false" outlineLevel="0" max="5" min="5" style="0" width="70"/>
  </cols>
  <sheetData>
    <row r="1" customFormat="false" ht="17.35" hidden="false" customHeight="false" outlineLevel="0" collapsed="false">
      <c r="B1" s="6" t="s">
        <v>19</v>
      </c>
    </row>
    <row r="2" customFormat="false" ht="15" hidden="false" customHeight="false" outlineLevel="0" collapsed="false">
      <c r="B2" s="7" t="s">
        <v>20</v>
      </c>
    </row>
    <row r="4" customFormat="false" ht="15" hidden="false" customHeight="false" outlineLevel="0" collapsed="false">
      <c r="B4" s="8" t="s">
        <v>21</v>
      </c>
      <c r="C4" s="9" t="s">
        <v>22</v>
      </c>
      <c r="D4" s="9" t="s">
        <v>23</v>
      </c>
      <c r="E4" s="9" t="s">
        <v>24</v>
      </c>
    </row>
    <row r="5" customFormat="false" ht="15" hidden="false" customHeight="false" outlineLevel="0" collapsed="false">
      <c r="B5" s="10" t="s">
        <v>25</v>
      </c>
      <c r="C5" s="11" t="n">
        <f aca="false">Zeitreihe!K5</f>
        <v>-142.800684459716</v>
      </c>
      <c r="D5" s="12" t="s">
        <v>26</v>
      </c>
      <c r="E5" s="13" t="s">
        <v>27</v>
      </c>
    </row>
    <row r="6" customFormat="false" ht="15" hidden="false" customHeight="false" outlineLevel="0" collapsed="false">
      <c r="B6" s="10" t="s">
        <v>28</v>
      </c>
      <c r="C6" s="14" t="n">
        <f aca="false">Zeitreihe!L5</f>
        <v>-0.812845426114048</v>
      </c>
      <c r="D6" s="12" t="s">
        <v>29</v>
      </c>
      <c r="E6" s="13" t="s">
        <v>30</v>
      </c>
    </row>
    <row r="7" customFormat="false" ht="15" hidden="false" customHeight="false" outlineLevel="0" collapsed="false">
      <c r="B7" s="10" t="s">
        <v>31</v>
      </c>
      <c r="C7" s="11" t="n">
        <f aca="false">Zeitreihe!M5</f>
        <v>-49.5835709929569</v>
      </c>
      <c r="D7" s="12" t="s">
        <v>29</v>
      </c>
      <c r="E7" s="13" t="s">
        <v>32</v>
      </c>
    </row>
    <row r="8" customFormat="false" ht="15" hidden="false" customHeight="false" outlineLevel="0" collapsed="false">
      <c r="B8" s="12" t="s">
        <v>33</v>
      </c>
      <c r="C8" s="15" t="n">
        <f aca="false">Zeitreihe!G5</f>
        <v>574.4736</v>
      </c>
      <c r="D8" s="12" t="s">
        <v>26</v>
      </c>
      <c r="E8" s="13" t="s">
        <v>34</v>
      </c>
    </row>
    <row r="9" customFormat="false" ht="15" hidden="false" customHeight="false" outlineLevel="0" collapsed="false">
      <c r="B9" s="12" t="s">
        <v>35</v>
      </c>
      <c r="C9" s="15" t="n">
        <f aca="false">Zeitreihe!H5</f>
        <v>125.685541213762</v>
      </c>
      <c r="D9" s="12" t="s">
        <v>26</v>
      </c>
      <c r="E9" s="13" t="s">
        <v>36</v>
      </c>
    </row>
    <row r="10" customFormat="false" ht="15" hidden="false" customHeight="false" outlineLevel="0" collapsed="false">
      <c r="B10" s="12" t="s">
        <v>37</v>
      </c>
      <c r="C10" s="15" t="n">
        <f aca="false">Zeitreihe!I5</f>
        <v>591.588743245954</v>
      </c>
      <c r="D10" s="12" t="s">
        <v>26</v>
      </c>
      <c r="E10" s="13" t="s">
        <v>38</v>
      </c>
    </row>
    <row r="11" customFormat="false" ht="15" hidden="false" customHeight="false" outlineLevel="0" collapsed="false">
      <c r="B11" s="12" t="s">
        <v>39</v>
      </c>
      <c r="C11" s="16" t="n">
        <f aca="false">Zeitreihe!O5</f>
        <v>-17.1151432459538</v>
      </c>
      <c r="D11" s="12" t="s">
        <v>26</v>
      </c>
      <c r="E11" s="13" t="s">
        <v>40</v>
      </c>
    </row>
    <row r="13" customFormat="false" ht="15" hidden="false" customHeight="false" outlineLevel="0" collapsed="false">
      <c r="B13" s="8" t="s">
        <v>41</v>
      </c>
      <c r="C13" s="9" t="s">
        <v>22</v>
      </c>
      <c r="D13" s="9" t="s">
        <v>23</v>
      </c>
      <c r="E13" s="9" t="s">
        <v>24</v>
      </c>
    </row>
    <row r="14" customFormat="false" ht="15" hidden="false" customHeight="false" outlineLevel="0" collapsed="false">
      <c r="B14" s="12" t="s">
        <v>42</v>
      </c>
      <c r="C14" s="17" t="n">
        <f aca="false">MAX(0,-S1)/HH_Ausgaben</f>
        <v>0.00311112602308749</v>
      </c>
      <c r="D14" s="12" t="s">
        <v>43</v>
      </c>
      <c r="E14" s="13"/>
    </row>
    <row r="15" customFormat="false" ht="15" hidden="false" customHeight="false" outlineLevel="0" collapsed="false">
      <c r="B15" s="12" t="s">
        <v>44</v>
      </c>
      <c r="C15" s="17" t="n">
        <f aca="false">MAX(0,-S1)/HH_Defizit</f>
        <v>0.03104362705646</v>
      </c>
      <c r="D15" s="12" t="s">
        <v>43</v>
      </c>
      <c r="E15" s="13"/>
    </row>
    <row r="17" customFormat="false" ht="15" hidden="false" customHeight="false" outlineLevel="0" collapsed="false">
      <c r="B17" s="8" t="s">
        <v>45</v>
      </c>
      <c r="C17" s="9" t="s">
        <v>22</v>
      </c>
      <c r="D17" s="9" t="s">
        <v>23</v>
      </c>
      <c r="E17" s="9" t="s">
        <v>24</v>
      </c>
    </row>
    <row r="18" customFormat="false" ht="15" hidden="false" customHeight="false" outlineLevel="0" collapsed="false">
      <c r="B18" s="12" t="s">
        <v>46</v>
      </c>
      <c r="C18" s="18" t="n">
        <f aca="false">Horizont</f>
        <v>50</v>
      </c>
      <c r="D18" s="12" t="s">
        <v>47</v>
      </c>
      <c r="E18" s="13"/>
    </row>
    <row r="19" customFormat="false" ht="15" hidden="false" customHeight="false" outlineLevel="0" collapsed="false">
      <c r="B19" s="12" t="s">
        <v>48</v>
      </c>
      <c r="C19" s="15" t="n">
        <f aca="false">-SUMIF(Z_Saldo_LH,"&lt;0")</f>
        <v>12013.2027926495</v>
      </c>
      <c r="D19" s="12" t="s">
        <v>26</v>
      </c>
      <c r="E19" s="13" t="s">
        <v>49</v>
      </c>
    </row>
    <row r="20" customFormat="false" ht="15" hidden="false" customHeight="false" outlineLevel="0" collapsed="false">
      <c r="B20" s="12" t="s">
        <v>50</v>
      </c>
      <c r="C20" s="16" t="n">
        <f aca="false">SUM(Z_Saldo_LH)</f>
        <v>-12013.2027926495</v>
      </c>
      <c r="D20" s="12" t="s">
        <v>26</v>
      </c>
      <c r="E20" s="13" t="s">
        <v>51</v>
      </c>
    </row>
    <row r="21" customFormat="false" ht="15" hidden="false" customHeight="false" outlineLevel="0" collapsed="false">
      <c r="B21" s="12" t="s">
        <v>52</v>
      </c>
      <c r="C21" s="16" t="n">
        <f aca="false">SUM(Z_Barwert)</f>
        <v>-4258.15411069692</v>
      </c>
      <c r="D21" s="12" t="s">
        <v>26</v>
      </c>
      <c r="E21" s="13" t="s">
        <v>53</v>
      </c>
    </row>
    <row r="22" customFormat="false" ht="15" hidden="false" customHeight="false" outlineLevel="0" collapsed="false">
      <c r="B22" s="12" t="s">
        <v>54</v>
      </c>
      <c r="C22" s="16" t="n">
        <f aca="false">INDEX(Z_Saldo_LH,Horizont)</f>
        <v>-443.974112005765</v>
      </c>
      <c r="D22" s="12" t="s">
        <v>26</v>
      </c>
      <c r="E22" s="13"/>
    </row>
    <row r="23" customFormat="false" ht="15" hidden="false" customHeight="false" outlineLevel="0" collapsed="false">
      <c r="B23" s="12" t="s">
        <v>55</v>
      </c>
      <c r="C23" s="18" t="n">
        <f aca="false">COUNT(Z_MitZuschuss)</f>
        <v>50</v>
      </c>
      <c r="D23" s="12" t="s">
        <v>47</v>
      </c>
      <c r="E23" s="13"/>
    </row>
    <row r="24" customFormat="false" ht="15" hidden="false" customHeight="false" outlineLevel="0" collapsed="false">
      <c r="B24" s="12" t="s">
        <v>56</v>
      </c>
      <c r="C24" s="18" t="str">
        <f aca="false">IF(COUNT(Z_MitZuschuss)=0,1,IF(MAX(Z_MitZuschuss)&gt;=Horizont,"nicht im Zeitraum",MAX(Z_MitZuschuss)+1))</f>
        <v>nicht im Zeitraum</v>
      </c>
      <c r="D24" s="12" t="s">
        <v>57</v>
      </c>
      <c r="E24" s="13" t="s">
        <v>58</v>
      </c>
    </row>
    <row r="26" customFormat="false" ht="15" hidden="false" customHeight="false" outlineLevel="0" collapsed="false">
      <c r="B26" s="8" t="s">
        <v>59</v>
      </c>
      <c r="C26" s="9" t="s">
        <v>22</v>
      </c>
      <c r="D26" s="9" t="s">
        <v>23</v>
      </c>
      <c r="E26" s="9" t="s">
        <v>24</v>
      </c>
    </row>
    <row r="27" customFormat="false" ht="15" hidden="false" customHeight="false" outlineLevel="0" collapsed="false">
      <c r="B27" s="12" t="s">
        <v>60</v>
      </c>
      <c r="C27" s="19" t="n">
        <f aca="false">MAX(0,Zeitreihe!G5)/1000/(EK_Quote*IF(Nur_Zinsen=1,Zins_EK,AF_EK)+(1-EK_Quote)*IF(Nur_Zinsen=1,Zins_FK,AF_FK))</f>
        <v>10.8123123441428</v>
      </c>
      <c r="D27" s="12" t="s">
        <v>61</v>
      </c>
      <c r="E27" s="13" t="s">
        <v>62</v>
      </c>
    </row>
    <row r="28" customFormat="false" ht="15" hidden="false" customHeight="false" outlineLevel="0" collapsed="false">
      <c r="B28" s="12" t="s">
        <v>63</v>
      </c>
      <c r="C28" s="20" t="n">
        <f aca="false">Bewirtschaftung+Zeitreihe!J5*1000000/Flaeche/12</f>
        <v>7.81284542611405</v>
      </c>
      <c r="D28" s="12" t="s">
        <v>64</v>
      </c>
      <c r="E28" s="13" t="s">
        <v>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7" min="3" style="0" width="13"/>
  </cols>
  <sheetData>
    <row r="1" customFormat="false" ht="17.35" hidden="false" customHeight="false" outlineLevel="0" collapsed="false">
      <c r="B1" s="6" t="s">
        <v>66</v>
      </c>
    </row>
    <row r="2" customFormat="false" ht="15" hidden="false" customHeight="false" outlineLevel="0" collapsed="false">
      <c r="B2" s="7" t="s">
        <v>67</v>
      </c>
    </row>
    <row r="3" customFormat="false" ht="15" hidden="false" customHeight="false" outlineLevel="0" collapsed="false">
      <c r="B3" s="21" t="str">
        <f aca="false">"Zins Land "&amp;TEXT(Zins_EK,"0.0%")&amp;", Zins Anstalt "&amp;TEXT(Zins_FK,"0.0%")&amp;", Eigenkapitalquote "&amp;TEXT(EK_Quote,"0%")&amp;", Laufzeit "&amp;Laufzeit_EK&amp;"/"&amp;Laufzeit_FK&amp;" Jahre, "&amp;Tilgung</f>
        <v>Zins Land 4.0%, Zins Anstalt 5.0%, Eigenkapitalquote 20%, Laufzeit 50/50 Jahre, Annuität</v>
      </c>
    </row>
    <row r="5" customFormat="false" ht="15" hidden="false" customHeight="false" outlineLevel="0" collapsed="false">
      <c r="B5" s="12" t="s">
        <v>68</v>
      </c>
      <c r="C5" s="22" t="n">
        <f aca="false">1000*(EK_Quote*IF(Nur_Zinsen=1,Zins_EK,AF_EK)+(1-EK_Quote)*IF(Nur_Zinsen=1,Zins_FK,AF_FK))</f>
        <v>53.1314284784975</v>
      </c>
    </row>
    <row r="7" customFormat="false" ht="15" hidden="false" customHeight="false" outlineLevel="0" collapsed="false">
      <c r="B7" s="23" t="s">
        <v>69</v>
      </c>
    </row>
    <row r="8" customFormat="false" ht="15" hidden="false" customHeight="false" outlineLevel="0" collapsed="false">
      <c r="B8" s="24" t="s">
        <v>70</v>
      </c>
      <c r="C8" s="25" t="n">
        <v>6</v>
      </c>
      <c r="D8" s="25" t="n">
        <v>7</v>
      </c>
      <c r="E8" s="25" t="n">
        <v>8</v>
      </c>
      <c r="F8" s="25" t="n">
        <v>9</v>
      </c>
    </row>
    <row r="9" customFormat="false" ht="15" hidden="false" customHeight="false" outlineLevel="0" collapsed="false">
      <c r="B9" s="26" t="n">
        <v>8</v>
      </c>
      <c r="C9" s="27" t="n">
        <f aca="false">(C$8-Bewirtschaftung)*Flaeche*12/1000000-$B9*$C$5</f>
        <v>-26.2578278279798</v>
      </c>
      <c r="D9" s="27" t="n">
        <f aca="false">(D$8-Bewirtschaftung)*Flaeche*12/1000000-$B9*$C$5</f>
        <v>149.42217217202</v>
      </c>
      <c r="E9" s="27" t="n">
        <f aca="false">(E$8-Bewirtschaftung)*Flaeche*12/1000000-$B9*$C$5</f>
        <v>325.10217217202</v>
      </c>
      <c r="F9" s="27" t="n">
        <f aca="false">(F$8-Bewirtschaftung)*Flaeche*12/1000000-$B9*$C$5</f>
        <v>500.78217217202</v>
      </c>
    </row>
    <row r="10" customFormat="false" ht="15" hidden="false" customHeight="false" outlineLevel="0" collapsed="false">
      <c r="B10" s="26" t="n">
        <v>11</v>
      </c>
      <c r="C10" s="27" t="n">
        <f aca="false">(C$8-Bewirtschaftung)*Flaeche*12/1000000-$B10*$C$5</f>
        <v>-185.652113263472</v>
      </c>
      <c r="D10" s="27" t="n">
        <f aca="false">(D$8-Bewirtschaftung)*Flaeche*12/1000000-$B10*$C$5</f>
        <v>-9.97211326347224</v>
      </c>
      <c r="E10" s="27" t="n">
        <f aca="false">(E$8-Bewirtschaftung)*Flaeche*12/1000000-$B10*$C$5</f>
        <v>165.707886736528</v>
      </c>
      <c r="F10" s="27" t="n">
        <f aca="false">(F$8-Bewirtschaftung)*Flaeche*12/1000000-$B10*$C$5</f>
        <v>341.387886736528</v>
      </c>
    </row>
    <row r="11" customFormat="false" ht="15" hidden="false" customHeight="false" outlineLevel="0" collapsed="false">
      <c r="B11" s="26" t="n">
        <v>13.5</v>
      </c>
      <c r="C11" s="27" t="n">
        <f aca="false">(C$8-Bewirtschaftung)*Flaeche*12/1000000-$B11*$C$5</f>
        <v>-318.480684459716</v>
      </c>
      <c r="D11" s="27" t="n">
        <f aca="false">(D$8-Bewirtschaftung)*Flaeche*12/1000000-$B11*$C$5</f>
        <v>-142.800684459716</v>
      </c>
      <c r="E11" s="27" t="n">
        <f aca="false">(E$8-Bewirtschaftung)*Flaeche*12/1000000-$B11*$C$5</f>
        <v>32.8793155402839</v>
      </c>
      <c r="F11" s="27" t="n">
        <f aca="false">(F$8-Bewirtschaftung)*Flaeche*12/1000000-$B11*$C$5</f>
        <v>208.559315540284</v>
      </c>
    </row>
    <row r="12" customFormat="false" ht="15" hidden="false" customHeight="false" outlineLevel="0" collapsed="false">
      <c r="B12" s="26" t="n">
        <v>16</v>
      </c>
      <c r="C12" s="27" t="n">
        <f aca="false">(C$8-Bewirtschaftung)*Flaeche*12/1000000-$B12*$C$5</f>
        <v>-451.30925565596</v>
      </c>
      <c r="D12" s="27" t="n">
        <f aca="false">(D$8-Bewirtschaftung)*Flaeche*12/1000000-$B12*$C$5</f>
        <v>-275.62925565596</v>
      </c>
      <c r="E12" s="27" t="n">
        <f aca="false">(E$8-Bewirtschaftung)*Flaeche*12/1000000-$B12*$C$5</f>
        <v>-99.9492556559599</v>
      </c>
      <c r="F12" s="27" t="n">
        <f aca="false">(F$8-Bewirtschaftung)*Flaeche*12/1000000-$B12*$C$5</f>
        <v>75.7307443440403</v>
      </c>
    </row>
    <row r="13" customFormat="false" ht="15" hidden="false" customHeight="false" outlineLevel="0" collapsed="false">
      <c r="B13" s="26" t="n">
        <v>21</v>
      </c>
      <c r="C13" s="27" t="n">
        <f aca="false">(C$8-Bewirtschaftung)*Flaeche*12/1000000-$B13*$C$5</f>
        <v>-716.966398048447</v>
      </c>
      <c r="D13" s="27" t="n">
        <f aca="false">(D$8-Bewirtschaftung)*Flaeche*12/1000000-$B13*$C$5</f>
        <v>-541.286398048447</v>
      </c>
      <c r="E13" s="27" t="n">
        <f aca="false">(E$8-Bewirtschaftung)*Flaeche*12/1000000-$B13*$C$5</f>
        <v>-365.606398048447</v>
      </c>
      <c r="F13" s="27" t="n">
        <f aca="false">(F$8-Bewirtschaftung)*Flaeche*12/1000000-$B13*$C$5</f>
        <v>-189.926398048447</v>
      </c>
    </row>
    <row r="14" customFormat="false" ht="15" hidden="false" customHeight="false" outlineLevel="0" collapsed="false">
      <c r="B14" s="26" t="n">
        <v>29</v>
      </c>
      <c r="C14" s="27" t="n">
        <f aca="false">(C$8-Bewirtschaftung)*Flaeche*12/1000000-$B14*$C$5</f>
        <v>-1142.01782587643</v>
      </c>
      <c r="D14" s="27" t="n">
        <f aca="false">(D$8-Bewirtschaftung)*Flaeche*12/1000000-$B14*$C$5</f>
        <v>-966.337825876427</v>
      </c>
      <c r="E14" s="27" t="n">
        <f aca="false">(E$8-Bewirtschaftung)*Flaeche*12/1000000-$B14*$C$5</f>
        <v>-790.657825876427</v>
      </c>
      <c r="F14" s="27" t="n">
        <f aca="false">(F$8-Bewirtschaftung)*Flaeche*12/1000000-$B14*$C$5</f>
        <v>-614.977825876427</v>
      </c>
    </row>
    <row r="16" customFormat="false" ht="15" hidden="false" customHeight="false" outlineLevel="0" collapsed="false">
      <c r="B16" s="23" t="s">
        <v>71</v>
      </c>
    </row>
    <row r="17" customFormat="false" ht="15" hidden="false" customHeight="false" outlineLevel="0" collapsed="false">
      <c r="B17" s="24" t="s">
        <v>70</v>
      </c>
      <c r="C17" s="28" t="n">
        <f aca="false">C8</f>
        <v>6</v>
      </c>
      <c r="D17" s="28" t="n">
        <f aca="false">D8</f>
        <v>7</v>
      </c>
      <c r="E17" s="28" t="n">
        <f aca="false">E8</f>
        <v>8</v>
      </c>
      <c r="F17" s="28" t="n">
        <f aca="false">F8</f>
        <v>9</v>
      </c>
    </row>
    <row r="18" customFormat="false" ht="15" hidden="false" customHeight="false" outlineLevel="0" collapsed="false">
      <c r="B18" s="29" t="n">
        <f aca="false">B9</f>
        <v>8</v>
      </c>
      <c r="C18" s="30" t="n">
        <f aca="false">(C$17-Bewirtschaftung)-($B18*$C$5*1000000/Flaeche/12)</f>
        <v>-0.149463956215732</v>
      </c>
      <c r="D18" s="30" t="n">
        <f aca="false">(D$17-Bewirtschaftung)-($B18*$C$5*1000000/Flaeche/12)</f>
        <v>0.850536043784268</v>
      </c>
      <c r="E18" s="30" t="n">
        <f aca="false">(E$17-Bewirtschaftung)-($B18*$C$5*1000000/Flaeche/12)</f>
        <v>1.85053604378427</v>
      </c>
      <c r="F18" s="30" t="n">
        <f aca="false">(F$17-Bewirtschaftung)-($B18*$C$5*1000000/Flaeche/12)</f>
        <v>2.85053604378427</v>
      </c>
    </row>
    <row r="19" customFormat="false" ht="15" hidden="false" customHeight="false" outlineLevel="0" collapsed="false">
      <c r="B19" s="29" t="n">
        <f aca="false">B10</f>
        <v>11</v>
      </c>
      <c r="C19" s="30" t="n">
        <f aca="false">(C$17-Bewirtschaftung)-($B19*$C$5*1000000/Flaeche/12)</f>
        <v>-1.05676293979663</v>
      </c>
      <c r="D19" s="30" t="n">
        <f aca="false">(D$17-Bewirtschaftung)-($B19*$C$5*1000000/Flaeche/12)</f>
        <v>-0.0567629397966321</v>
      </c>
      <c r="E19" s="30" t="n">
        <f aca="false">(E$17-Bewirtschaftung)-($B19*$C$5*1000000/Flaeche/12)</f>
        <v>0.943237060203368</v>
      </c>
      <c r="F19" s="30" t="n">
        <f aca="false">(F$17-Bewirtschaftung)-($B19*$C$5*1000000/Flaeche/12)</f>
        <v>1.94323706020337</v>
      </c>
    </row>
    <row r="20" customFormat="false" ht="15" hidden="false" customHeight="false" outlineLevel="0" collapsed="false">
      <c r="B20" s="29" t="n">
        <f aca="false">B11</f>
        <v>13.5</v>
      </c>
      <c r="C20" s="30" t="n">
        <f aca="false">(C$17-Bewirtschaftung)-($B20*$C$5*1000000/Flaeche/12)</f>
        <v>-1.81284542611405</v>
      </c>
      <c r="D20" s="30" t="n">
        <f aca="false">(D$17-Bewirtschaftung)-($B20*$C$5*1000000/Flaeche/12)</f>
        <v>-0.812845426114048</v>
      </c>
      <c r="E20" s="30" t="n">
        <f aca="false">(E$17-Bewirtschaftung)-($B20*$C$5*1000000/Flaeche/12)</f>
        <v>0.187154573885952</v>
      </c>
      <c r="F20" s="30" t="n">
        <f aca="false">(F$17-Bewirtschaftung)-($B20*$C$5*1000000/Flaeche/12)</f>
        <v>1.18715457388595</v>
      </c>
    </row>
    <row r="21" customFormat="false" ht="15" hidden="false" customHeight="false" outlineLevel="0" collapsed="false">
      <c r="B21" s="29" t="n">
        <f aca="false">B12</f>
        <v>16</v>
      </c>
      <c r="C21" s="30" t="n">
        <f aca="false">(C$17-Bewirtschaftung)-($B21*$C$5*1000000/Flaeche/12)</f>
        <v>-2.56892791243146</v>
      </c>
      <c r="D21" s="30" t="n">
        <f aca="false">(D$17-Bewirtschaftung)-($B21*$C$5*1000000/Flaeche/12)</f>
        <v>-1.56892791243146</v>
      </c>
      <c r="E21" s="30" t="n">
        <f aca="false">(E$17-Bewirtschaftung)-($B21*$C$5*1000000/Flaeche/12)</f>
        <v>-0.568927912431465</v>
      </c>
      <c r="F21" s="30" t="n">
        <f aca="false">(F$17-Bewirtschaftung)-($B21*$C$5*1000000/Flaeche/12)</f>
        <v>0.431072087568535</v>
      </c>
    </row>
    <row r="22" customFormat="false" ht="15" hidden="false" customHeight="false" outlineLevel="0" collapsed="false">
      <c r="B22" s="29" t="n">
        <f aca="false">B13</f>
        <v>21</v>
      </c>
      <c r="C22" s="30" t="n">
        <f aca="false">(C$17-Bewirtschaftung)-($B22*$C$5*1000000/Flaeche/12)</f>
        <v>-4.0810928850663</v>
      </c>
      <c r="D22" s="30" t="n">
        <f aca="false">(D$17-Bewirtschaftung)-($B22*$C$5*1000000/Flaeche/12)</f>
        <v>-3.0810928850663</v>
      </c>
      <c r="E22" s="30" t="n">
        <f aca="false">(E$17-Bewirtschaftung)-($B22*$C$5*1000000/Flaeche/12)</f>
        <v>-2.0810928850663</v>
      </c>
      <c r="F22" s="30" t="n">
        <f aca="false">(F$17-Bewirtschaftung)-($B22*$C$5*1000000/Flaeche/12)</f>
        <v>-1.0810928850663</v>
      </c>
    </row>
    <row r="23" customFormat="false" ht="15" hidden="false" customHeight="false" outlineLevel="0" collapsed="false">
      <c r="B23" s="29" t="n">
        <f aca="false">B14</f>
        <v>29</v>
      </c>
      <c r="C23" s="30" t="n">
        <f aca="false">(C$17-Bewirtschaftung)-($B23*$C$5*1000000/Flaeche/12)</f>
        <v>-6.50055684128203</v>
      </c>
      <c r="D23" s="30" t="n">
        <f aca="false">(D$17-Bewirtschaftung)-($B23*$C$5*1000000/Flaeche/12)</f>
        <v>-5.50055684128203</v>
      </c>
      <c r="E23" s="30" t="n">
        <f aca="false">(E$17-Bewirtschaftung)-($B23*$C$5*1000000/Flaeche/12)</f>
        <v>-4.50055684128203</v>
      </c>
      <c r="F23" s="30" t="n">
        <f aca="false">(F$17-Bewirtschaftung)-($B23*$C$5*1000000/Flaeche/12)</f>
        <v>-3.50055684128203</v>
      </c>
    </row>
    <row r="25" customFormat="false" ht="15" hidden="false" customHeight="false" outlineLevel="0" collapsed="false">
      <c r="B25" s="7" t="s">
        <v>72</v>
      </c>
    </row>
    <row r="26" customFormat="false" ht="15" hidden="false" customHeight="true" outlineLevel="0" collapsed="false">
      <c r="B26" s="31" t="s">
        <v>73</v>
      </c>
      <c r="C26" s="31"/>
      <c r="D26" s="31"/>
      <c r="E26" s="31"/>
      <c r="F26" s="31"/>
      <c r="G26" s="31"/>
    </row>
    <row r="27" customFormat="false" ht="15" hidden="false" customHeight="false" outlineLevel="0" collapsed="false">
      <c r="B27" s="31"/>
      <c r="C27" s="31"/>
      <c r="D27" s="31"/>
      <c r="E27" s="31"/>
      <c r="F27" s="31"/>
      <c r="G27" s="31"/>
    </row>
    <row r="28" customFormat="false" ht="15" hidden="false" customHeight="false" outlineLevel="0" collapsed="false">
      <c r="B28" s="31"/>
      <c r="C28" s="31"/>
      <c r="D28" s="31"/>
      <c r="E28" s="31"/>
      <c r="F28" s="31"/>
      <c r="G28" s="31"/>
    </row>
  </sheetData>
  <mergeCells count="1">
    <mergeCell ref="B26:G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786B"/>
    <pageSetUpPr fitToPage="false"/>
  </sheetPr>
  <dimension ref="B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14"/>
    <col collapsed="false" customWidth="true" hidden="false" outlineLevel="0" max="4" min="4" style="0" width="16"/>
    <col collapsed="false" customWidth="true" hidden="false" outlineLevel="0" max="5" min="5" style="0" width="12"/>
    <col collapsed="false" customWidth="true" hidden="false" outlineLevel="0" max="6" min="6" style="0" width="90"/>
  </cols>
  <sheetData>
    <row r="1" customFormat="false" ht="17.35" hidden="false" customHeight="false" outlineLevel="0" collapsed="false">
      <c r="B1" s="6" t="s">
        <v>74</v>
      </c>
    </row>
    <row r="2" customFormat="false" ht="15" hidden="false" customHeight="false" outlineLevel="0" collapsed="false">
      <c r="B2" s="7" t="s">
        <v>75</v>
      </c>
    </row>
    <row r="4" customFormat="false" ht="15" hidden="false" customHeight="false" outlineLevel="0" collapsed="false">
      <c r="B4" s="9" t="s">
        <v>76</v>
      </c>
      <c r="C4" s="9" t="s">
        <v>22</v>
      </c>
      <c r="D4" s="9" t="s">
        <v>77</v>
      </c>
      <c r="E4" s="9" t="s">
        <v>23</v>
      </c>
      <c r="F4" s="9" t="s">
        <v>78</v>
      </c>
    </row>
    <row r="5" customFormat="false" ht="32.8" hidden="false" customHeight="false" outlineLevel="0" collapsed="false">
      <c r="B5" s="12" t="s">
        <v>79</v>
      </c>
      <c r="C5" s="32" t="n">
        <v>13.5</v>
      </c>
      <c r="D5" s="33" t="n">
        <v>13.5</v>
      </c>
      <c r="E5" s="12" t="s">
        <v>61</v>
      </c>
      <c r="F5" s="34" t="s">
        <v>80</v>
      </c>
    </row>
    <row r="6" customFormat="false" ht="22.35" hidden="false" customHeight="false" outlineLevel="0" collapsed="false">
      <c r="B6" s="12" t="s">
        <v>81</v>
      </c>
      <c r="C6" s="35" t="n">
        <v>240000</v>
      </c>
      <c r="D6" s="36" t="n">
        <v>240000</v>
      </c>
      <c r="E6" s="12" t="s">
        <v>82</v>
      </c>
      <c r="F6" s="34" t="s">
        <v>83</v>
      </c>
    </row>
    <row r="7" customFormat="false" ht="15" hidden="false" customHeight="false" outlineLevel="0" collapsed="false">
      <c r="B7" s="12" t="s">
        <v>84</v>
      </c>
      <c r="C7" s="35" t="n">
        <v>61</v>
      </c>
      <c r="D7" s="36" t="n">
        <v>61</v>
      </c>
      <c r="E7" s="12" t="s">
        <v>85</v>
      </c>
      <c r="F7" s="34" t="s">
        <v>86</v>
      </c>
    </row>
    <row r="8" customFormat="false" ht="43.25" hidden="false" customHeight="false" outlineLevel="0" collapsed="false">
      <c r="B8" s="12" t="s">
        <v>87</v>
      </c>
      <c r="C8" s="37" t="n">
        <v>7</v>
      </c>
      <c r="D8" s="38" t="n">
        <v>7</v>
      </c>
      <c r="E8" s="12" t="s">
        <v>64</v>
      </c>
      <c r="F8" s="34" t="s">
        <v>88</v>
      </c>
    </row>
    <row r="9" customFormat="false" ht="22.35" hidden="false" customHeight="false" outlineLevel="0" collapsed="false">
      <c r="B9" s="12" t="s">
        <v>89</v>
      </c>
      <c r="C9" s="39" t="n">
        <v>0.01</v>
      </c>
      <c r="D9" s="40" t="n">
        <v>0.01</v>
      </c>
      <c r="E9" s="12" t="s">
        <v>90</v>
      </c>
      <c r="F9" s="34" t="s">
        <v>91</v>
      </c>
    </row>
    <row r="10" customFormat="false" ht="32.8" hidden="false" customHeight="false" outlineLevel="0" collapsed="false">
      <c r="B10" s="12" t="s">
        <v>92</v>
      </c>
      <c r="C10" s="41" t="n">
        <v>3.73</v>
      </c>
      <c r="D10" s="38" t="n">
        <v>3.73</v>
      </c>
      <c r="E10" s="12" t="s">
        <v>64</v>
      </c>
      <c r="F10" s="34" t="s">
        <v>93</v>
      </c>
    </row>
    <row r="11" customFormat="false" ht="15" hidden="false" customHeight="false" outlineLevel="0" collapsed="false">
      <c r="B11" s="12" t="s">
        <v>94</v>
      </c>
      <c r="C11" s="42" t="n">
        <v>0.02</v>
      </c>
      <c r="D11" s="40" t="n">
        <v>0.02</v>
      </c>
      <c r="E11" s="12" t="s">
        <v>90</v>
      </c>
      <c r="F11" s="34" t="s">
        <v>95</v>
      </c>
    </row>
    <row r="12" customFormat="false" ht="15" hidden="false" customHeight="false" outlineLevel="0" collapsed="false">
      <c r="B12" s="12" t="s">
        <v>96</v>
      </c>
      <c r="C12" s="43" t="n">
        <v>0.2</v>
      </c>
      <c r="D12" s="40" t="n">
        <v>0.2</v>
      </c>
      <c r="E12" s="12" t="s">
        <v>97</v>
      </c>
      <c r="F12" s="34" t="s">
        <v>98</v>
      </c>
    </row>
    <row r="13" customFormat="false" ht="15" hidden="false" customHeight="false" outlineLevel="0" collapsed="false">
      <c r="B13" s="12" t="s">
        <v>99</v>
      </c>
      <c r="C13" s="44" t="n">
        <v>0.04</v>
      </c>
      <c r="D13" s="45" t="n">
        <v>0.04</v>
      </c>
      <c r="E13" s="12" t="s">
        <v>90</v>
      </c>
      <c r="F13" s="34" t="s">
        <v>100</v>
      </c>
    </row>
    <row r="14" customFormat="false" ht="32.8" hidden="false" customHeight="false" outlineLevel="0" collapsed="false">
      <c r="B14" s="12" t="s">
        <v>101</v>
      </c>
      <c r="C14" s="44" t="n">
        <v>0.05</v>
      </c>
      <c r="D14" s="45" t="n">
        <v>0.05</v>
      </c>
      <c r="E14" s="12" t="s">
        <v>90</v>
      </c>
      <c r="F14" s="34" t="s">
        <v>102</v>
      </c>
    </row>
    <row r="15" customFormat="false" ht="15" hidden="false" customHeight="false" outlineLevel="0" collapsed="false">
      <c r="B15" s="12" t="s">
        <v>103</v>
      </c>
      <c r="C15" s="46" t="n">
        <v>50</v>
      </c>
      <c r="D15" s="47" t="n">
        <v>50</v>
      </c>
      <c r="E15" s="12" t="s">
        <v>47</v>
      </c>
      <c r="F15" s="34" t="s">
        <v>104</v>
      </c>
    </row>
    <row r="16" customFormat="false" ht="15" hidden="false" customHeight="false" outlineLevel="0" collapsed="false">
      <c r="B16" s="12" t="s">
        <v>105</v>
      </c>
      <c r="C16" s="46" t="n">
        <v>50</v>
      </c>
      <c r="D16" s="47" t="n">
        <v>50</v>
      </c>
      <c r="E16" s="12" t="s">
        <v>47</v>
      </c>
      <c r="F16" s="34" t="s">
        <v>106</v>
      </c>
    </row>
    <row r="17" customFormat="false" ht="15" hidden="false" customHeight="false" outlineLevel="0" collapsed="false">
      <c r="B17" s="12" t="s">
        <v>107</v>
      </c>
      <c r="C17" s="48" t="s">
        <v>108</v>
      </c>
      <c r="D17" s="49" t="s">
        <v>108</v>
      </c>
      <c r="E17" s="12" t="s">
        <v>109</v>
      </c>
      <c r="F17" s="34" t="s">
        <v>110</v>
      </c>
    </row>
    <row r="18" customFormat="false" ht="15" hidden="false" customHeight="false" outlineLevel="0" collapsed="false">
      <c r="B18" s="12" t="s">
        <v>46</v>
      </c>
      <c r="C18" s="46" t="n">
        <v>50</v>
      </c>
      <c r="D18" s="47" t="n">
        <v>50</v>
      </c>
      <c r="E18" s="12" t="s">
        <v>111</v>
      </c>
      <c r="F18" s="34" t="s">
        <v>112</v>
      </c>
    </row>
    <row r="19" customFormat="false" ht="15" hidden="false" customHeight="false" outlineLevel="0" collapsed="false">
      <c r="B19" s="12" t="s">
        <v>113</v>
      </c>
      <c r="C19" s="50"/>
      <c r="D19" s="45"/>
      <c r="E19" s="12" t="s">
        <v>90</v>
      </c>
      <c r="F19" s="34" t="s">
        <v>114</v>
      </c>
    </row>
    <row r="21" customFormat="false" ht="15" hidden="false" customHeight="false" outlineLevel="0" collapsed="false">
      <c r="B21" s="23" t="s">
        <v>115</v>
      </c>
    </row>
    <row r="22" customFormat="false" ht="15" hidden="false" customHeight="false" outlineLevel="0" collapsed="false">
      <c r="B22" s="9" t="s">
        <v>116</v>
      </c>
      <c r="C22" s="9" t="s">
        <v>22</v>
      </c>
      <c r="D22" s="9"/>
      <c r="E22" s="9" t="s">
        <v>23</v>
      </c>
      <c r="F22" s="9" t="s">
        <v>24</v>
      </c>
    </row>
    <row r="23" customFormat="false" ht="15" hidden="false" customHeight="false" outlineLevel="0" collapsed="false">
      <c r="B23" s="12" t="s">
        <v>117</v>
      </c>
      <c r="C23" s="15" t="n">
        <f aca="false">Wohnungen*Flaeche_je_WE</f>
        <v>14640000</v>
      </c>
      <c r="E23" s="12" t="s">
        <v>85</v>
      </c>
      <c r="F23" s="13" t="s">
        <v>118</v>
      </c>
    </row>
    <row r="24" customFormat="false" ht="15" hidden="false" customHeight="false" outlineLevel="0" collapsed="false">
      <c r="B24" s="12" t="s">
        <v>119</v>
      </c>
      <c r="C24" s="15" t="n">
        <f aca="false">EK_Quote*Entschaedigung*1000</f>
        <v>2700</v>
      </c>
      <c r="E24" s="12" t="s">
        <v>26</v>
      </c>
      <c r="F24" s="13" t="s">
        <v>120</v>
      </c>
    </row>
    <row r="25" customFormat="false" ht="15" hidden="false" customHeight="false" outlineLevel="0" collapsed="false">
      <c r="B25" s="12" t="s">
        <v>121</v>
      </c>
      <c r="C25" s="15" t="n">
        <f aca="false">(1-EK_Quote)*Entschaedigung*1000</f>
        <v>10800</v>
      </c>
      <c r="E25" s="12" t="s">
        <v>26</v>
      </c>
      <c r="F25" s="13" t="s">
        <v>122</v>
      </c>
    </row>
    <row r="26" customFormat="false" ht="15" hidden="false" customHeight="false" outlineLevel="0" collapsed="false">
      <c r="B26" s="12" t="s">
        <v>123</v>
      </c>
      <c r="C26" s="18" t="n">
        <f aca="false">IF(Tilgung="nur Zinsen",1,0)</f>
        <v>0</v>
      </c>
      <c r="E26" s="12"/>
      <c r="F26" s="13"/>
    </row>
    <row r="27" customFormat="false" ht="15" hidden="false" customHeight="false" outlineLevel="0" collapsed="false">
      <c r="B27" s="12" t="s">
        <v>124</v>
      </c>
      <c r="C27" s="51" t="n">
        <f aca="false">IF(Zins_EK=0,1/Laufzeit_EK,Zins_EK/(1-(1+Zins_EK)^(-Laufzeit_EK)))</f>
        <v>0.0465502004495415</v>
      </c>
      <c r="E27" s="12"/>
      <c r="F27" s="13" t="s">
        <v>125</v>
      </c>
    </row>
    <row r="28" customFormat="false" ht="15" hidden="false" customHeight="false" outlineLevel="0" collapsed="false">
      <c r="B28" s="12" t="s">
        <v>126</v>
      </c>
      <c r="C28" s="51" t="n">
        <f aca="false">IF(Zins_FK=0,1/Laufzeit_FK,Zins_FK/(1-(1+Zins_FK)^(-Laufzeit_FK)))</f>
        <v>0.0547767354857365</v>
      </c>
      <c r="E28" s="12"/>
      <c r="F28" s="13" t="s">
        <v>125</v>
      </c>
    </row>
    <row r="29" customFormat="false" ht="15" hidden="false" customHeight="false" outlineLevel="0" collapsed="false">
      <c r="B29" s="12" t="s">
        <v>127</v>
      </c>
      <c r="C29" s="19" t="n">
        <f aca="false">Eigenkapital*IF(Nur_Zinsen=1,Zins_EK,AF_EK)</f>
        <v>125.685541213762</v>
      </c>
      <c r="E29" s="12" t="s">
        <v>26</v>
      </c>
      <c r="F29" s="13" t="s">
        <v>128</v>
      </c>
    </row>
    <row r="30" customFormat="false" ht="15" hidden="false" customHeight="false" outlineLevel="0" collapsed="false">
      <c r="B30" s="12" t="s">
        <v>129</v>
      </c>
      <c r="C30" s="19" t="n">
        <f aca="false">Fremdkapital*IF(Nur_Zinsen=1,Zins_FK,AF_FK)</f>
        <v>591.588743245954</v>
      </c>
      <c r="E30" s="12" t="s">
        <v>26</v>
      </c>
      <c r="F30" s="13" t="s">
        <v>130</v>
      </c>
    </row>
    <row r="31" customFormat="false" ht="15" hidden="false" customHeight="false" outlineLevel="0" collapsed="false">
      <c r="B31" s="12" t="s">
        <v>131</v>
      </c>
      <c r="C31" s="52" t="n">
        <f aca="false">IF(ISBLANK(Diskont_Eingabe),Zins_EK,Diskont_Eingabe)</f>
        <v>0.04</v>
      </c>
      <c r="E31" s="12" t="s">
        <v>90</v>
      </c>
      <c r="F31" s="13" t="s">
        <v>132</v>
      </c>
    </row>
    <row r="33" customFormat="false" ht="15" hidden="false" customHeight="false" outlineLevel="0" collapsed="false">
      <c r="B33" s="23" t="s">
        <v>133</v>
      </c>
    </row>
    <row r="34" customFormat="false" ht="15" hidden="false" customHeight="false" outlineLevel="0" collapsed="false">
      <c r="B34" s="9" t="s">
        <v>116</v>
      </c>
      <c r="C34" s="9" t="s">
        <v>22</v>
      </c>
      <c r="D34" s="9"/>
      <c r="E34" s="9" t="s">
        <v>23</v>
      </c>
      <c r="F34" s="9" t="s">
        <v>134</v>
      </c>
    </row>
    <row r="35" customFormat="false" ht="22.35" hidden="false" customHeight="false" outlineLevel="0" collapsed="false">
      <c r="B35" s="12" t="s">
        <v>135</v>
      </c>
      <c r="C35" s="35" t="n">
        <v>45900</v>
      </c>
      <c r="E35" s="12" t="s">
        <v>26</v>
      </c>
      <c r="F35" s="34" t="s">
        <v>136</v>
      </c>
    </row>
    <row r="36" customFormat="false" ht="15" hidden="false" customHeight="false" outlineLevel="0" collapsed="false">
      <c r="B36" s="12" t="s">
        <v>137</v>
      </c>
      <c r="C36" s="35" t="n">
        <v>4600</v>
      </c>
      <c r="E36" s="12" t="s">
        <v>26</v>
      </c>
      <c r="F36" s="34" t="s">
        <v>138</v>
      </c>
    </row>
    <row r="37" customFormat="false" ht="15" hidden="false" customHeight="false" outlineLevel="0" collapsed="false">
      <c r="B37" s="12" t="s">
        <v>139</v>
      </c>
      <c r="C37" s="35" t="n">
        <v>69000</v>
      </c>
      <c r="E37" s="12" t="s">
        <v>26</v>
      </c>
      <c r="F37" s="34" t="s">
        <v>140</v>
      </c>
    </row>
  </sheetData>
  <dataValidations count="2">
    <dataValidation allowBlank="false" errorStyle="stop" operator="between" showDropDown="false" showErrorMessage="false" showInputMessage="false" sqref="C17" type="list">
      <formula1>"Annuität,nur Zinsen"</formula1>
      <formula2>0</formula2>
    </dataValidation>
    <dataValidation allowBlank="false" errorStyle="stop" operator="between" showDropDown="false" showErrorMessage="false" showInputMessage="false" sqref="C18" type="whole">
      <formula1>1</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0"/>
    <col collapsed="false" customWidth="true" hidden="false" outlineLevel="0" max="3" min="3" style="0" width="11"/>
    <col collapsed="false" customWidth="true" hidden="false" outlineLevel="0" max="4" min="4" style="0" width="14"/>
    <col collapsed="false" customWidth="true" hidden="false" outlineLevel="0" max="5" min="5" style="0" width="12"/>
    <col collapsed="false" customWidth="true" hidden="false" outlineLevel="0" max="6" min="6" style="0" width="14"/>
    <col collapsed="false" customWidth="true" hidden="false" outlineLevel="0" max="7" min="7" style="0" width="12"/>
    <col collapsed="false" customWidth="true" hidden="false" outlineLevel="0" max="8" min="8" style="0" width="14"/>
    <col collapsed="false" customWidth="true" hidden="false" outlineLevel="0" max="9" min="9" style="0" width="13"/>
    <col collapsed="false" customWidth="true" hidden="false" outlineLevel="0" max="10" min="10" style="0" width="12"/>
    <col collapsed="false" customWidth="true" hidden="false" outlineLevel="0" max="11" min="11" style="0" width="15"/>
    <col collapsed="false" customWidth="true" hidden="false" outlineLevel="0" max="12" min="12" style="0" width="11"/>
    <col collapsed="false" customWidth="true" hidden="false" outlineLevel="0" max="14" min="13" style="0" width="13"/>
    <col collapsed="false" customWidth="true" hidden="false" outlineLevel="0" max="15" min="15" style="0" width="15"/>
    <col collapsed="false" customWidth="true" hidden="false" outlineLevel="0" max="17" min="16" style="0" width="12"/>
    <col collapsed="false" customWidth="true" hidden="false" outlineLevel="0" max="18" min="18" style="0" width="10"/>
    <col collapsed="false" customWidth="true" hidden="false" outlineLevel="0" max="19" min="19" style="0" width="12"/>
    <col collapsed="false" customWidth="true" hidden="false" outlineLevel="0" max="20" min="20" style="0" width="10"/>
  </cols>
  <sheetData>
    <row r="1" customFormat="false" ht="17.35" hidden="false" customHeight="false" outlineLevel="0" collapsed="false">
      <c r="A1" s="6" t="s">
        <v>141</v>
      </c>
    </row>
    <row r="2" customFormat="false" ht="15" hidden="false" customHeight="false" outlineLevel="0" collapsed="false">
      <c r="A2" s="7" t="s">
        <v>142</v>
      </c>
    </row>
    <row r="4" customFormat="false" ht="54" hidden="false" customHeight="true" outlineLevel="0" collapsed="false">
      <c r="A4" s="53" t="s">
        <v>57</v>
      </c>
      <c r="B4" s="53" t="s">
        <v>143</v>
      </c>
      <c r="C4" s="53" t="s">
        <v>144</v>
      </c>
      <c r="D4" s="53" t="s">
        <v>145</v>
      </c>
      <c r="E4" s="53" t="s">
        <v>146</v>
      </c>
      <c r="F4" s="53" t="s">
        <v>147</v>
      </c>
      <c r="G4" s="53" t="s">
        <v>148</v>
      </c>
      <c r="H4" s="53" t="s">
        <v>149</v>
      </c>
      <c r="I4" s="53" t="s">
        <v>37</v>
      </c>
      <c r="J4" s="53" t="s">
        <v>150</v>
      </c>
      <c r="K4" s="53" t="s">
        <v>151</v>
      </c>
      <c r="L4" s="53" t="s">
        <v>152</v>
      </c>
      <c r="M4" s="53" t="s">
        <v>153</v>
      </c>
      <c r="N4" s="53" t="s">
        <v>154</v>
      </c>
      <c r="O4" s="53" t="s">
        <v>155</v>
      </c>
      <c r="P4" s="53" t="s">
        <v>156</v>
      </c>
      <c r="Q4" s="53" t="s">
        <v>157</v>
      </c>
      <c r="R4" s="53" t="s">
        <v>158</v>
      </c>
      <c r="S4" s="53" t="s">
        <v>52</v>
      </c>
      <c r="T4" s="53" t="s">
        <v>159</v>
      </c>
    </row>
    <row r="5" customFormat="false" ht="15" hidden="false" customHeight="false" outlineLevel="0" collapsed="false">
      <c r="A5" s="18" t="n">
        <v>1</v>
      </c>
      <c r="B5" s="18" t="n">
        <f aca="false">IF($A5&lt;=Horizont,1,0)</f>
        <v>1</v>
      </c>
      <c r="C5" s="20" t="n">
        <f aca="false">IF($B5=1,Miete*(1+Mietsteigerung)^($A5-1),"")</f>
        <v>7</v>
      </c>
      <c r="D5" s="20" t="n">
        <f aca="false">IF($B5=1,Bewirtschaftung*(1+Kostensteigerung)^($A5-1),"")</f>
        <v>3.73</v>
      </c>
      <c r="E5" s="19" t="n">
        <f aca="false">IF($B5=1,C5*Flaeche*12/1000000,"")</f>
        <v>1229.76</v>
      </c>
      <c r="F5" s="19" t="n">
        <f aca="false">IF($B5=1,D5*Flaeche*12/1000000,"")</f>
        <v>655.2864</v>
      </c>
      <c r="G5" s="19" t="n">
        <f aca="false">IF($B5=1,E5-F5,"")</f>
        <v>574.4736</v>
      </c>
      <c r="H5" s="19" t="n">
        <f aca="false">IF($B5=1,IF(OR(Nur_Zinsen=1,$A5&lt;=Laufzeit_EK),KD_EK_Jahr,0),"")</f>
        <v>125.685541213762</v>
      </c>
      <c r="I5" s="19" t="n">
        <f aca="false">IF($B5=1,IF(OR(Nur_Zinsen=1,$A5&lt;=Laufzeit_FK),KD_FK_Jahr,0),"")</f>
        <v>591.588743245954</v>
      </c>
      <c r="J5" s="19" t="n">
        <f aca="false">IF($B5=1,H5+I5,"")</f>
        <v>717.274284459716</v>
      </c>
      <c r="K5" s="54" t="n">
        <f aca="false">IF($B5=1,G5-J5,"")</f>
        <v>-142.800684459716</v>
      </c>
      <c r="L5" s="55" t="n">
        <f aca="false">IF($B5=1,K5*1000000/Flaeche/12,"")</f>
        <v>-0.812845426114048</v>
      </c>
      <c r="M5" s="56" t="n">
        <f aca="false">IF($B5=1,K5*1000000/Wohnungen/12,"")</f>
        <v>-49.5835709929569</v>
      </c>
      <c r="N5" s="56" t="n">
        <f aca="false">IF($B5=1,K5,"")</f>
        <v>-142.800684459716</v>
      </c>
      <c r="O5" s="54" t="n">
        <f aca="false">IF($B5=1,G5-I5,"")</f>
        <v>-17.1151432459538</v>
      </c>
      <c r="P5" s="15" t="n">
        <f aca="false">IF($B5=1,IF(Nur_Zinsen=1,Eigenkapital,IF($A5&gt;=Laufzeit_EK,0,IF(Zins_EK=0,Eigenkapital*(1-$A5/Laufzeit_EK),MAX(0,Eigenkapital*(1+Zins_EK)^$A5-KD_EK_Jahr*((1+Zins_EK)^$A5-1)/Zins_EK)))),"")</f>
        <v>2682.31445878624</v>
      </c>
      <c r="Q5" s="15" t="n">
        <f aca="false">IF($B5=1,IF(Nur_Zinsen=1,Fremdkapital,IF($A5&gt;=Laufzeit_FK,0,IF(Zins_FK=0,Fremdkapital*(1-$A5/Laufzeit_FK),MAX(0,Fremdkapital*(1+Zins_FK)^$A5-KD_FK_Jahr*((1+Zins_FK)^$A5-1)/Zins_FK)))),"")</f>
        <v>10748.411256754</v>
      </c>
      <c r="R5" s="57" t="n">
        <f aca="false">IF($B5=1,1/(1+Diskontsatz)^$A5,"")</f>
        <v>0.961538461538462</v>
      </c>
      <c r="S5" s="54" t="n">
        <f aca="false">IF($B5=1,K5*R5,"")</f>
        <v>-137.308350442035</v>
      </c>
      <c r="T5" s="18" t="n">
        <f aca="false">IF($B5=1,IF(K5&lt;0,$A5,""),"")</f>
        <v>1</v>
      </c>
    </row>
    <row r="6" customFormat="false" ht="15" hidden="false" customHeight="false" outlineLevel="0" collapsed="false">
      <c r="A6" s="18" t="n">
        <f aca="false">A5+1</f>
        <v>2</v>
      </c>
      <c r="B6" s="18" t="n">
        <f aca="false">IF($A6&lt;=Horizont,1,0)</f>
        <v>1</v>
      </c>
      <c r="C6" s="20" t="n">
        <f aca="false">IF($B6=1,Miete*(1+Mietsteigerung)^($A6-1),"")</f>
        <v>7.07</v>
      </c>
      <c r="D6" s="20" t="n">
        <f aca="false">IF($B6=1,Bewirtschaftung*(1+Kostensteigerung)^($A6-1),"")</f>
        <v>3.8046</v>
      </c>
      <c r="E6" s="19" t="n">
        <f aca="false">IF($B6=1,C6*Flaeche*12/1000000,"")</f>
        <v>1242.0576</v>
      </c>
      <c r="F6" s="19" t="n">
        <f aca="false">IF($B6=1,D6*Flaeche*12/1000000,"")</f>
        <v>668.392128</v>
      </c>
      <c r="G6" s="19" t="n">
        <f aca="false">IF($B6=1,E6-F6,"")</f>
        <v>573.665472</v>
      </c>
      <c r="H6" s="19" t="n">
        <f aca="false">IF($B6=1,IF(OR(Nur_Zinsen=1,$A6&lt;=Laufzeit_EK),KD_EK_Jahr,0),"")</f>
        <v>125.685541213762</v>
      </c>
      <c r="I6" s="19" t="n">
        <f aca="false">IF($B6=1,IF(OR(Nur_Zinsen=1,$A6&lt;=Laufzeit_FK),KD_FK_Jahr,0),"")</f>
        <v>591.588743245954</v>
      </c>
      <c r="J6" s="19" t="n">
        <f aca="false">IF($B6=1,H6+I6,"")</f>
        <v>717.274284459716</v>
      </c>
      <c r="K6" s="54" t="n">
        <f aca="false">IF($B6=1,G6-J6,"")</f>
        <v>-143.608812459716</v>
      </c>
      <c r="L6" s="55" t="n">
        <f aca="false">IF($B6=1,K6*1000000/Flaeche/12,"")</f>
        <v>-0.817445426114048</v>
      </c>
      <c r="M6" s="56" t="n">
        <f aca="false">IF($B6=1,K6*1000000/Wohnungen/12,"")</f>
        <v>-49.8641709929569</v>
      </c>
      <c r="N6" s="56" t="n">
        <f aca="false">IF($B6=1,N5+K6,"")</f>
        <v>-286.409496919432</v>
      </c>
      <c r="O6" s="54" t="n">
        <f aca="false">IF($B6=1,G6-I6,"")</f>
        <v>-17.9232712459537</v>
      </c>
      <c r="P6" s="15" t="n">
        <f aca="false">IF($B6=1,IF(Nur_Zinsen=1,Eigenkapital,IF($A6&gt;=Laufzeit_EK,0,IF(Zins_EK=0,Eigenkapital*(1-$A6/Laufzeit_EK),MAX(0,Eigenkapital*(1+Zins_EK)^$A6-KD_EK_Jahr*((1+Zins_EK)^$A6-1)/Zins_EK)))),"")</f>
        <v>2663.92149592393</v>
      </c>
      <c r="Q6" s="15" t="n">
        <f aca="false">IF($B6=1,IF(Nur_Zinsen=1,Fremdkapital,IF($A6&gt;=Laufzeit_FK,0,IF(Zins_FK=0,Fremdkapital*(1-$A6/Laufzeit_FK),MAX(0,Fremdkapital*(1+Zins_FK)^$A6-KD_FK_Jahr*((1+Zins_FK)^$A6-1)/Zins_FK)))),"")</f>
        <v>10694.2430763458</v>
      </c>
      <c r="R6" s="57" t="n">
        <f aca="false">IF($B6=1,1/(1+Diskontsatz)^$A6,"")</f>
        <v>0.924556213017751</v>
      </c>
      <c r="S6" s="54" t="n">
        <f aca="false">IF($B6=1,K6*R6,"")</f>
        <v>-132.774419803731</v>
      </c>
      <c r="T6" s="18" t="n">
        <f aca="false">IF($B6=1,IF(K6&lt;0,$A6,""),"")</f>
        <v>2</v>
      </c>
    </row>
    <row r="7" customFormat="false" ht="15" hidden="false" customHeight="false" outlineLevel="0" collapsed="false">
      <c r="A7" s="18" t="n">
        <f aca="false">A6+1</f>
        <v>3</v>
      </c>
      <c r="B7" s="18" t="n">
        <f aca="false">IF($A7&lt;=Horizont,1,0)</f>
        <v>1</v>
      </c>
      <c r="C7" s="20" t="n">
        <f aca="false">IF($B7=1,Miete*(1+Mietsteigerung)^($A7-1),"")</f>
        <v>7.1407</v>
      </c>
      <c r="D7" s="20" t="n">
        <f aca="false">IF($B7=1,Bewirtschaftung*(1+Kostensteigerung)^($A7-1),"")</f>
        <v>3.880692</v>
      </c>
      <c r="E7" s="19" t="n">
        <f aca="false">IF($B7=1,C7*Flaeche*12/1000000,"")</f>
        <v>1254.478176</v>
      </c>
      <c r="F7" s="19" t="n">
        <f aca="false">IF($B7=1,D7*Flaeche*12/1000000,"")</f>
        <v>681.75997056</v>
      </c>
      <c r="G7" s="19" t="n">
        <f aca="false">IF($B7=1,E7-F7,"")</f>
        <v>572.71820544</v>
      </c>
      <c r="H7" s="19" t="n">
        <f aca="false">IF($B7=1,IF(OR(Nur_Zinsen=1,$A7&lt;=Laufzeit_EK),KD_EK_Jahr,0),"")</f>
        <v>125.685541213762</v>
      </c>
      <c r="I7" s="19" t="n">
        <f aca="false">IF($B7=1,IF(OR(Nur_Zinsen=1,$A7&lt;=Laufzeit_FK),KD_FK_Jahr,0),"")</f>
        <v>591.588743245954</v>
      </c>
      <c r="J7" s="19" t="n">
        <f aca="false">IF($B7=1,H7+I7,"")</f>
        <v>717.274284459716</v>
      </c>
      <c r="K7" s="54" t="n">
        <f aca="false">IF($B7=1,G7-J7,"")</f>
        <v>-144.556079019716</v>
      </c>
      <c r="L7" s="55" t="n">
        <f aca="false">IF($B7=1,K7*1000000/Flaeche/12,"")</f>
        <v>-0.822837426114048</v>
      </c>
      <c r="M7" s="56" t="n">
        <f aca="false">IF($B7=1,K7*1000000/Wohnungen/12,"")</f>
        <v>-50.1930829929569</v>
      </c>
      <c r="N7" s="56" t="n">
        <f aca="false">IF($B7=1,N6+K7,"")</f>
        <v>-430.965575939148</v>
      </c>
      <c r="O7" s="54" t="n">
        <f aca="false">IF($B7=1,G7-I7,"")</f>
        <v>-18.8705378059537</v>
      </c>
      <c r="P7" s="15" t="n">
        <f aca="false">IF($B7=1,IF(Nur_Zinsen=1,Eigenkapital,IF($A7&gt;=Laufzeit_EK,0,IF(Zins_EK=0,Eigenkapital*(1-$A7/Laufzeit_EK),MAX(0,Eigenkapital*(1+Zins_EK)^$A7-KD_EK_Jahr*((1+Zins_EK)^$A7-1)/Zins_EK)))),"")</f>
        <v>2644.79281454712</v>
      </c>
      <c r="Q7" s="15" t="n">
        <f aca="false">IF($B7=1,IF(Nur_Zinsen=1,Fremdkapital,IF($A7&gt;=Laufzeit_FK,0,IF(Zins_FK=0,Fremdkapital*(1-$A7/Laufzeit_FK),MAX(0,Fremdkapital*(1+Zins_FK)^$A7-KD_FK_Jahr*((1+Zins_FK)^$A7-1)/Zins_FK)))),"")</f>
        <v>10637.3664869171</v>
      </c>
      <c r="R7" s="57" t="n">
        <f aca="false">IF($B7=1,1/(1+Diskontsatz)^$A7,"")</f>
        <v>0.888996358670915</v>
      </c>
      <c r="S7" s="54" t="n">
        <f aca="false">IF($B7=1,K7*R7,"")</f>
        <v>-128.509827872272</v>
      </c>
      <c r="T7" s="18" t="n">
        <f aca="false">IF($B7=1,IF(K7&lt;0,$A7,""),"")</f>
        <v>3</v>
      </c>
    </row>
    <row r="8" customFormat="false" ht="15" hidden="false" customHeight="false" outlineLevel="0" collapsed="false">
      <c r="A8" s="18" t="n">
        <f aca="false">A7+1</f>
        <v>4</v>
      </c>
      <c r="B8" s="18" t="n">
        <f aca="false">IF($A8&lt;=Horizont,1,0)</f>
        <v>1</v>
      </c>
      <c r="C8" s="20" t="n">
        <f aca="false">IF($B8=1,Miete*(1+Mietsteigerung)^($A8-1),"")</f>
        <v>7.212107</v>
      </c>
      <c r="D8" s="20" t="n">
        <f aca="false">IF($B8=1,Bewirtschaftung*(1+Kostensteigerung)^($A8-1),"")</f>
        <v>3.95830584</v>
      </c>
      <c r="E8" s="19" t="n">
        <f aca="false">IF($B8=1,C8*Flaeche*12/1000000,"")</f>
        <v>1267.02295776</v>
      </c>
      <c r="F8" s="19" t="n">
        <f aca="false">IF($B8=1,D8*Flaeche*12/1000000,"")</f>
        <v>695.3951699712</v>
      </c>
      <c r="G8" s="19" t="n">
        <f aca="false">IF($B8=1,E8-F8,"")</f>
        <v>571.6277877888</v>
      </c>
      <c r="H8" s="19" t="n">
        <f aca="false">IF($B8=1,IF(OR(Nur_Zinsen=1,$A8&lt;=Laufzeit_EK),KD_EK_Jahr,0),"")</f>
        <v>125.685541213762</v>
      </c>
      <c r="I8" s="19" t="n">
        <f aca="false">IF($B8=1,IF(OR(Nur_Zinsen=1,$A8&lt;=Laufzeit_FK),KD_FK_Jahr,0),"")</f>
        <v>591.588743245954</v>
      </c>
      <c r="J8" s="19" t="n">
        <f aca="false">IF($B8=1,H8+I8,"")</f>
        <v>717.274284459716</v>
      </c>
      <c r="K8" s="54" t="n">
        <f aca="false">IF($B8=1,G8-J8,"")</f>
        <v>-145.646496670916</v>
      </c>
      <c r="L8" s="55" t="n">
        <f aca="false">IF($B8=1,K8*1000000/Flaeche/12,"")</f>
        <v>-0.829044266114046</v>
      </c>
      <c r="M8" s="56" t="n">
        <f aca="false">IF($B8=1,K8*1000000/Wohnungen/12,"")</f>
        <v>-50.5717002329568</v>
      </c>
      <c r="N8" s="56" t="n">
        <f aca="false">IF($B8=1,N7+K8,"")</f>
        <v>-576.612072610063</v>
      </c>
      <c r="O8" s="54" t="n">
        <f aca="false">IF($B8=1,G8-I8,"")</f>
        <v>-19.9609554571535</v>
      </c>
      <c r="P8" s="15" t="n">
        <f aca="false">IF($B8=1,IF(Nur_Zinsen=1,Eigenkapital,IF($A8&gt;=Laufzeit_EK,0,IF(Zins_EK=0,Eigenkapital*(1-$A8/Laufzeit_EK),MAX(0,Eigenkapital*(1+Zins_EK)^$A8-KD_EK_Jahr*((1+Zins_EK)^$A8-1)/Zins_EK)))),"")</f>
        <v>2624.89898591524</v>
      </c>
      <c r="Q8" s="15" t="n">
        <f aca="false">IF($B8=1,IF(Nur_Zinsen=1,Fremdkapital,IF($A8&gt;=Laufzeit_FK,0,IF(Zins_FK=0,Fremdkapital*(1-$A8/Laufzeit_FK),MAX(0,Fremdkapital*(1+Zins_FK)^$A8-KD_FK_Jahr*((1+Zins_FK)^$A8-1)/Zins_FK)))),"")</f>
        <v>10577.646068017</v>
      </c>
      <c r="R8" s="57" t="n">
        <f aca="false">IF($B8=1,1/(1+Diskontsatz)^$A8,"")</f>
        <v>0.854804191029726</v>
      </c>
      <c r="S8" s="54" t="n">
        <f aca="false">IF($B8=1,K8*R8,"")</f>
        <v>-124.499235763096</v>
      </c>
      <c r="T8" s="18" t="n">
        <f aca="false">IF($B8=1,IF(K8&lt;0,$A8,""),"")</f>
        <v>4</v>
      </c>
    </row>
    <row r="9" customFormat="false" ht="15" hidden="false" customHeight="false" outlineLevel="0" collapsed="false">
      <c r="A9" s="18" t="n">
        <f aca="false">A8+1</f>
        <v>5</v>
      </c>
      <c r="B9" s="18" t="n">
        <f aca="false">IF($A9&lt;=Horizont,1,0)</f>
        <v>1</v>
      </c>
      <c r="C9" s="20" t="n">
        <f aca="false">IF($B9=1,Miete*(1+Mietsteigerung)^($A9-1),"")</f>
        <v>7.28422807</v>
      </c>
      <c r="D9" s="20" t="n">
        <f aca="false">IF($B9=1,Bewirtschaftung*(1+Kostensteigerung)^($A9-1),"")</f>
        <v>4.0374719568</v>
      </c>
      <c r="E9" s="19" t="n">
        <f aca="false">IF($B9=1,C9*Flaeche*12/1000000,"")</f>
        <v>1279.6931873376</v>
      </c>
      <c r="F9" s="19" t="n">
        <f aca="false">IF($B9=1,D9*Flaeche*12/1000000,"")</f>
        <v>709.303073370624</v>
      </c>
      <c r="G9" s="19" t="n">
        <f aca="false">IF($B9=1,E9-F9,"")</f>
        <v>570.390113966976</v>
      </c>
      <c r="H9" s="19" t="n">
        <f aca="false">IF($B9=1,IF(OR(Nur_Zinsen=1,$A9&lt;=Laufzeit_EK),KD_EK_Jahr,0),"")</f>
        <v>125.685541213762</v>
      </c>
      <c r="I9" s="19" t="n">
        <f aca="false">IF($B9=1,IF(OR(Nur_Zinsen=1,$A9&lt;=Laufzeit_FK),KD_FK_Jahr,0),"")</f>
        <v>591.588743245954</v>
      </c>
      <c r="J9" s="19" t="n">
        <f aca="false">IF($B9=1,H9+I9,"")</f>
        <v>717.274284459716</v>
      </c>
      <c r="K9" s="54" t="n">
        <f aca="false">IF($B9=1,G9-J9,"")</f>
        <v>-146.88417049274</v>
      </c>
      <c r="L9" s="55" t="n">
        <f aca="false">IF($B9=1,K9*1000000/Flaeche/12,"")</f>
        <v>-0.836089312914049</v>
      </c>
      <c r="M9" s="56" t="n">
        <f aca="false">IF($B9=1,K9*1000000/Wohnungen/12,"")</f>
        <v>-51.001448087757</v>
      </c>
      <c r="N9" s="56" t="n">
        <f aca="false">IF($B9=1,N8+K9,"")</f>
        <v>-723.496243102803</v>
      </c>
      <c r="O9" s="54" t="n">
        <f aca="false">IF($B9=1,G9-I9,"")</f>
        <v>-21.1986292789779</v>
      </c>
      <c r="P9" s="15" t="n">
        <f aca="false">IF($B9=1,IF(Nur_Zinsen=1,Eigenkapital,IF($A9&gt;=Laufzeit_EK,0,IF(Zins_EK=0,Eigenkapital*(1-$A9/Laufzeit_EK),MAX(0,Eigenkapital*(1+Zins_EK)^$A9-KD_EK_Jahr*((1+Zins_EK)^$A9-1)/Zins_EK)))),"")</f>
        <v>2604.20940413809</v>
      </c>
      <c r="Q9" s="15" t="n">
        <f aca="false">IF($B9=1,IF(Nur_Zinsen=1,Fremdkapital,IF($A9&gt;=Laufzeit_FK,0,IF(Zins_FK=0,Fremdkapital*(1-$A9/Laufzeit_FK),MAX(0,Fremdkapital*(1+Zins_FK)^$A9-KD_FK_Jahr*((1+Zins_FK)^$A9-1)/Zins_FK)))),"")</f>
        <v>10514.9396281719</v>
      </c>
      <c r="R9" s="57" t="n">
        <f aca="false">IF($B9=1,1/(1+Diskontsatz)^$A9,"")</f>
        <v>0.821927106759352</v>
      </c>
      <c r="S9" s="54" t="n">
        <f aca="false">IF($B9=1,K9*R9,"")</f>
        <v>-120.728081281845</v>
      </c>
      <c r="T9" s="18" t="n">
        <f aca="false">IF($B9=1,IF(K9&lt;0,$A9,""),"")</f>
        <v>5</v>
      </c>
    </row>
    <row r="10" customFormat="false" ht="15" hidden="false" customHeight="false" outlineLevel="0" collapsed="false">
      <c r="A10" s="18" t="n">
        <f aca="false">A9+1</f>
        <v>6</v>
      </c>
      <c r="B10" s="18" t="n">
        <f aca="false">IF($A10&lt;=Horizont,1,0)</f>
        <v>1</v>
      </c>
      <c r="C10" s="20" t="n">
        <f aca="false">IF($B10=1,Miete*(1+Mietsteigerung)^($A10-1),"")</f>
        <v>7.3570703507</v>
      </c>
      <c r="D10" s="20" t="n">
        <f aca="false">IF($B10=1,Bewirtschaftung*(1+Kostensteigerung)^($A10-1),"")</f>
        <v>4.118221395936</v>
      </c>
      <c r="E10" s="19" t="n">
        <f aca="false">IF($B10=1,C10*Flaeche*12/1000000,"")</f>
        <v>1292.49011921098</v>
      </c>
      <c r="F10" s="19" t="n">
        <f aca="false">IF($B10=1,D10*Flaeche*12/1000000,"")</f>
        <v>723.489134838036</v>
      </c>
      <c r="G10" s="19" t="n">
        <f aca="false">IF($B10=1,E10-F10,"")</f>
        <v>569.00098437294</v>
      </c>
      <c r="H10" s="19" t="n">
        <f aca="false">IF($B10=1,IF(OR(Nur_Zinsen=1,$A10&lt;=Laufzeit_EK),KD_EK_Jahr,0),"")</f>
        <v>125.685541213762</v>
      </c>
      <c r="I10" s="19" t="n">
        <f aca="false">IF($B10=1,IF(OR(Nur_Zinsen=1,$A10&lt;=Laufzeit_FK),KD_FK_Jahr,0),"")</f>
        <v>591.588743245954</v>
      </c>
      <c r="J10" s="19" t="n">
        <f aca="false">IF($B10=1,H10+I10,"")</f>
        <v>717.274284459716</v>
      </c>
      <c r="K10" s="54" t="n">
        <f aca="false">IF($B10=1,G10-J10,"")</f>
        <v>-148.273300086776</v>
      </c>
      <c r="L10" s="55" t="n">
        <f aca="false">IF($B10=1,K10*1000000/Flaeche/12,"")</f>
        <v>-0.843996471350047</v>
      </c>
      <c r="M10" s="56" t="n">
        <f aca="false">IF($B10=1,K10*1000000/Wohnungen/12,"")</f>
        <v>-51.4837847523529</v>
      </c>
      <c r="N10" s="56" t="n">
        <f aca="false">IF($B10=1,N9+K10,"")</f>
        <v>-871.76954318958</v>
      </c>
      <c r="O10" s="54" t="n">
        <f aca="false">IF($B10=1,G10-I10,"")</f>
        <v>-22.5877588730141</v>
      </c>
      <c r="P10" s="15" t="n">
        <f aca="false">IF($B10=1,IF(Nur_Zinsen=1,Eigenkapital,IF($A10&gt;=Laufzeit_EK,0,IF(Zins_EK=0,Eigenkapital*(1-$A10/Laufzeit_EK),MAX(0,Eigenkapital*(1+Zins_EK)^$A10-KD_EK_Jahr*((1+Zins_EK)^$A10-1)/Zins_EK)))),"")</f>
        <v>2582.69223908985</v>
      </c>
      <c r="Q10" s="15" t="n">
        <f aca="false">IF($B10=1,IF(Nur_Zinsen=1,Fremdkapital,IF($A10&gt;=Laufzeit_FK,0,IF(Zins_FK=0,Fremdkapital*(1-$A10/Laufzeit_FK),MAX(0,Fremdkapital*(1+Zins_FK)^$A10-KD_FK_Jahr*((1+Zins_FK)^$A10-1)/Zins_FK)))),"")</f>
        <v>10449.0978663346</v>
      </c>
      <c r="R10" s="57" t="n">
        <f aca="false">IF($B10=1,1/(1+Diskontsatz)^$A10,"")</f>
        <v>0.790314525730146</v>
      </c>
      <c r="S10" s="54" t="n">
        <f aca="false">IF($B10=1,K10*R10,"")</f>
        <v>-117.182542836524</v>
      </c>
      <c r="T10" s="18" t="n">
        <f aca="false">IF($B10=1,IF(K10&lt;0,$A10,""),"")</f>
        <v>6</v>
      </c>
    </row>
    <row r="11" customFormat="false" ht="15" hidden="false" customHeight="false" outlineLevel="0" collapsed="false">
      <c r="A11" s="18" t="n">
        <f aca="false">A10+1</f>
        <v>7</v>
      </c>
      <c r="B11" s="18" t="n">
        <f aca="false">IF($A11&lt;=Horizont,1,0)</f>
        <v>1</v>
      </c>
      <c r="C11" s="20" t="n">
        <f aca="false">IF($B11=1,Miete*(1+Mietsteigerung)^($A11-1),"")</f>
        <v>7.430641054207</v>
      </c>
      <c r="D11" s="20" t="n">
        <f aca="false">IF($B11=1,Bewirtschaftung*(1+Kostensteigerung)^($A11-1),"")</f>
        <v>4.20058582385472</v>
      </c>
      <c r="E11" s="19" t="n">
        <f aca="false">IF($B11=1,C11*Flaeche*12/1000000,"")</f>
        <v>1305.41502040309</v>
      </c>
      <c r="F11" s="19" t="n">
        <f aca="false">IF($B11=1,D11*Flaeche*12/1000000,"")</f>
        <v>737.958917534797</v>
      </c>
      <c r="G11" s="19" t="n">
        <f aca="false">IF($B11=1,E11-F11,"")</f>
        <v>567.456102868289</v>
      </c>
      <c r="H11" s="19" t="n">
        <f aca="false">IF($B11=1,IF(OR(Nur_Zinsen=1,$A11&lt;=Laufzeit_EK),KD_EK_Jahr,0),"")</f>
        <v>125.685541213762</v>
      </c>
      <c r="I11" s="19" t="n">
        <f aca="false">IF($B11=1,IF(OR(Nur_Zinsen=1,$A11&lt;=Laufzeit_FK),KD_FK_Jahr,0),"")</f>
        <v>591.588743245954</v>
      </c>
      <c r="J11" s="19" t="n">
        <f aca="false">IF($B11=1,H11+I11,"")</f>
        <v>717.274284459716</v>
      </c>
      <c r="K11" s="54" t="n">
        <f aca="false">IF($B11=1,G11-J11,"")</f>
        <v>-149.818181591427</v>
      </c>
      <c r="L11" s="55" t="n">
        <f aca="false">IF($B11=1,K11*1000000/Flaeche/12,"")</f>
        <v>-0.852790195761768</v>
      </c>
      <c r="M11" s="56" t="n">
        <f aca="false">IF($B11=1,K11*1000000/Wohnungen/12,"")</f>
        <v>-52.0202019414679</v>
      </c>
      <c r="N11" s="56" t="n">
        <f aca="false">IF($B11=1,N10+K11,"")</f>
        <v>-1021.58772478101</v>
      </c>
      <c r="O11" s="54" t="n">
        <f aca="false">IF($B11=1,G11-I11,"")</f>
        <v>-24.1326403776653</v>
      </c>
      <c r="P11" s="15" t="n">
        <f aca="false">IF($B11=1,IF(Nur_Zinsen=1,Eigenkapital,IF($A11&gt;=Laufzeit_EK,0,IF(Zins_EK=0,Eigenkapital*(1-$A11/Laufzeit_EK),MAX(0,Eigenkapital*(1+Zins_EK)^$A11-KD_EK_Jahr*((1+Zins_EK)^$A11-1)/Zins_EK)))),"")</f>
        <v>2560.31438743968</v>
      </c>
      <c r="Q11" s="15" t="n">
        <f aca="false">IF($B11=1,IF(Nur_Zinsen=1,Fremdkapital,IF($A11&gt;=Laufzeit_FK,0,IF(Zins_FK=0,Fremdkapital*(1-$A11/Laufzeit_FK),MAX(0,Fremdkapital*(1+Zins_FK)^$A11-KD_FK_Jahr*((1+Zins_FK)^$A11-1)/Zins_FK)))),"")</f>
        <v>10379.9640164053</v>
      </c>
      <c r="R11" s="57" t="n">
        <f aca="false">IF($B11=1,1/(1+Diskontsatz)^$A11,"")</f>
        <v>0.759917813202063</v>
      </c>
      <c r="S11" s="54" t="n">
        <f aca="false">IF($B11=1,K11*R11,"")</f>
        <v>-113.849504932867</v>
      </c>
      <c r="T11" s="18" t="n">
        <f aca="false">IF($B11=1,IF(K11&lt;0,$A11,""),"")</f>
        <v>7</v>
      </c>
    </row>
    <row r="12" customFormat="false" ht="15" hidden="false" customHeight="false" outlineLevel="0" collapsed="false">
      <c r="A12" s="18" t="n">
        <f aca="false">A11+1</f>
        <v>8</v>
      </c>
      <c r="B12" s="18" t="n">
        <f aca="false">IF($A12&lt;=Horizont,1,0)</f>
        <v>1</v>
      </c>
      <c r="C12" s="20" t="n">
        <f aca="false">IF($B12=1,Miete*(1+Mietsteigerung)^($A12-1),"")</f>
        <v>7.50494746474907</v>
      </c>
      <c r="D12" s="20" t="n">
        <f aca="false">IF($B12=1,Bewirtschaftung*(1+Kostensteigerung)^($A12-1),"")</f>
        <v>4.28459754033182</v>
      </c>
      <c r="E12" s="19" t="n">
        <f aca="false">IF($B12=1,C12*Flaeche*12/1000000,"")</f>
        <v>1318.46917060712</v>
      </c>
      <c r="F12" s="19" t="n">
        <f aca="false">IF($B12=1,D12*Flaeche*12/1000000,"")</f>
        <v>752.718095885493</v>
      </c>
      <c r="G12" s="19" t="n">
        <f aca="false">IF($B12=1,E12-F12,"")</f>
        <v>565.751074721624</v>
      </c>
      <c r="H12" s="19" t="n">
        <f aca="false">IF($B12=1,IF(OR(Nur_Zinsen=1,$A12&lt;=Laufzeit_EK),KD_EK_Jahr,0),"")</f>
        <v>125.685541213762</v>
      </c>
      <c r="I12" s="19" t="n">
        <f aca="false">IF($B12=1,IF(OR(Nur_Zinsen=1,$A12&lt;=Laufzeit_FK),KD_FK_Jahr,0),"")</f>
        <v>591.588743245954</v>
      </c>
      <c r="J12" s="19" t="n">
        <f aca="false">IF($B12=1,H12+I12,"")</f>
        <v>717.274284459716</v>
      </c>
      <c r="K12" s="54" t="n">
        <f aca="false">IF($B12=1,G12-J12,"")</f>
        <v>-151.523209738093</v>
      </c>
      <c r="L12" s="55" t="n">
        <f aca="false">IF($B12=1,K12*1000000/Flaeche/12,"")</f>
        <v>-0.862495501696793</v>
      </c>
      <c r="M12" s="56" t="n">
        <f aca="false">IF($B12=1,K12*1000000/Wohnungen/12,"")</f>
        <v>-52.6122256035044</v>
      </c>
      <c r="N12" s="56" t="n">
        <f aca="false">IF($B12=1,N11+K12,"")</f>
        <v>-1173.1109345191</v>
      </c>
      <c r="O12" s="54" t="n">
        <f aca="false">IF($B12=1,G12-I12,"")</f>
        <v>-25.8376685243304</v>
      </c>
      <c r="P12" s="15" t="n">
        <f aca="false">IF($B12=1,IF(Nur_Zinsen=1,Eigenkapital,IF($A12&gt;=Laufzeit_EK,0,IF(Zins_EK=0,Eigenkapital*(1-$A12/Laufzeit_EK),MAX(0,Eigenkapital*(1+Zins_EK)^$A12-KD_EK_Jahr*((1+Zins_EK)^$A12-1)/Zins_EK)))),"")</f>
        <v>2537.04142172351</v>
      </c>
      <c r="Q12" s="15" t="n">
        <f aca="false">IF($B12=1,IF(Nur_Zinsen=1,Fremdkapital,IF($A12&gt;=Laufzeit_FK,0,IF(Zins_FK=0,Fremdkapital*(1-$A12/Laufzeit_FK),MAX(0,Fremdkapital*(1+Zins_FK)^$A12-KD_FK_Jahr*((1+Zins_FK)^$A12-1)/Zins_FK)))),"")</f>
        <v>10307.3734739797</v>
      </c>
      <c r="R12" s="57" t="n">
        <f aca="false">IF($B12=1,1/(1+Diskontsatz)^$A12,"")</f>
        <v>0.730690205001984</v>
      </c>
      <c r="S12" s="54" t="n">
        <f aca="false">IF($B12=1,K12*R12,"")</f>
        <v>-110.716525186085</v>
      </c>
      <c r="T12" s="18" t="n">
        <f aca="false">IF($B12=1,IF(K12&lt;0,$A12,""),"")</f>
        <v>8</v>
      </c>
    </row>
    <row r="13" customFormat="false" ht="15" hidden="false" customHeight="false" outlineLevel="0" collapsed="false">
      <c r="A13" s="18" t="n">
        <f aca="false">A12+1</f>
        <v>9</v>
      </c>
      <c r="B13" s="18" t="n">
        <f aca="false">IF($A13&lt;=Horizont,1,0)</f>
        <v>1</v>
      </c>
      <c r="C13" s="20" t="n">
        <f aca="false">IF($B13=1,Miete*(1+Mietsteigerung)^($A13-1),"")</f>
        <v>7.57999693939656</v>
      </c>
      <c r="D13" s="20" t="n">
        <f aca="false">IF($B13=1,Bewirtschaftung*(1+Kostensteigerung)^($A13-1),"")</f>
        <v>4.37028949113845</v>
      </c>
      <c r="E13" s="19" t="n">
        <f aca="false">IF($B13=1,C13*Flaeche*12/1000000,"")</f>
        <v>1331.65386231319</v>
      </c>
      <c r="F13" s="19" t="n">
        <f aca="false">IF($B13=1,D13*Flaeche*12/1000000,"")</f>
        <v>767.772457803203</v>
      </c>
      <c r="G13" s="19" t="n">
        <f aca="false">IF($B13=1,E13-F13,"")</f>
        <v>563.881404509985</v>
      </c>
      <c r="H13" s="19" t="n">
        <f aca="false">IF($B13=1,IF(OR(Nur_Zinsen=1,$A13&lt;=Laufzeit_EK),KD_EK_Jahr,0),"")</f>
        <v>125.685541213762</v>
      </c>
      <c r="I13" s="19" t="n">
        <f aca="false">IF($B13=1,IF(OR(Nur_Zinsen=1,$A13&lt;=Laufzeit_FK),KD_FK_Jahr,0),"")</f>
        <v>591.588743245954</v>
      </c>
      <c r="J13" s="19" t="n">
        <f aca="false">IF($B13=1,H13+I13,"")</f>
        <v>717.274284459716</v>
      </c>
      <c r="K13" s="54" t="n">
        <f aca="false">IF($B13=1,G13-J13,"")</f>
        <v>-153.392879949731</v>
      </c>
      <c r="L13" s="55" t="n">
        <f aca="false">IF($B13=1,K13*1000000/Flaeche/12,"")</f>
        <v>-0.873137977855937</v>
      </c>
      <c r="M13" s="56" t="n">
        <f aca="false">IF($B13=1,K13*1000000/Wohnungen/12,"")</f>
        <v>-53.2614166492122</v>
      </c>
      <c r="N13" s="56" t="n">
        <f aca="false">IF($B13=1,N12+K13,"")</f>
        <v>-1326.50381446883</v>
      </c>
      <c r="O13" s="54" t="n">
        <f aca="false">IF($B13=1,G13-I13,"")</f>
        <v>-27.707338735969</v>
      </c>
      <c r="P13" s="15" t="n">
        <f aca="false">IF($B13=1,IF(Nur_Zinsen=1,Eigenkapital,IF($A13&gt;=Laufzeit_EK,0,IF(Zins_EK=0,Eigenkapital*(1-$A13/Laufzeit_EK),MAX(0,Eigenkapital*(1+Zins_EK)^$A13-KD_EK_Jahr*((1+Zins_EK)^$A13-1)/Zins_EK)))),"")</f>
        <v>2512.83753737869</v>
      </c>
      <c r="Q13" s="15" t="n">
        <f aca="false">IF($B13=1,IF(Nur_Zinsen=1,Fremdkapital,IF($A13&gt;=Laufzeit_FK,0,IF(Zins_FK=0,Fremdkapital*(1-$A13/Laufzeit_FK),MAX(0,Fremdkapital*(1+Zins_FK)^$A13-KD_FK_Jahr*((1+Zins_FK)^$A13-1)/Zins_FK)))),"")</f>
        <v>10231.1534044327</v>
      </c>
      <c r="R13" s="57" t="n">
        <f aca="false">IF($B13=1,1/(1+Diskontsatz)^$A13,"")</f>
        <v>0.702586735578831</v>
      </c>
      <c r="S13" s="54" t="n">
        <f aca="false">IF($B13=1,K13*R13,"")</f>
        <v>-107.771802784917</v>
      </c>
      <c r="T13" s="18" t="n">
        <f aca="false">IF($B13=1,IF(K13&lt;0,$A13,""),"")</f>
        <v>9</v>
      </c>
    </row>
    <row r="14" customFormat="false" ht="15" hidden="false" customHeight="false" outlineLevel="0" collapsed="false">
      <c r="A14" s="18" t="n">
        <f aca="false">A13+1</f>
        <v>10</v>
      </c>
      <c r="B14" s="18" t="n">
        <f aca="false">IF($A14&lt;=Horizont,1,0)</f>
        <v>1</v>
      </c>
      <c r="C14" s="20" t="n">
        <f aca="false">IF($B14=1,Miete*(1+Mietsteigerung)^($A14-1),"")</f>
        <v>7.65579690879053</v>
      </c>
      <c r="D14" s="20" t="n">
        <f aca="false">IF($B14=1,Bewirtschaftung*(1+Kostensteigerung)^($A14-1),"")</f>
        <v>4.45769528096122</v>
      </c>
      <c r="E14" s="19" t="n">
        <f aca="false">IF($B14=1,C14*Flaeche*12/1000000,"")</f>
        <v>1344.97040093632</v>
      </c>
      <c r="F14" s="19" t="n">
        <f aca="false">IF($B14=1,D14*Flaeche*12/1000000,"")</f>
        <v>783.127906959267</v>
      </c>
      <c r="G14" s="19" t="n">
        <f aca="false">IF($B14=1,E14-F14,"")</f>
        <v>561.842493977052</v>
      </c>
      <c r="H14" s="19" t="n">
        <f aca="false">IF($B14=1,IF(OR(Nur_Zinsen=1,$A14&lt;=Laufzeit_EK),KD_EK_Jahr,0),"")</f>
        <v>125.685541213762</v>
      </c>
      <c r="I14" s="19" t="n">
        <f aca="false">IF($B14=1,IF(OR(Nur_Zinsen=1,$A14&lt;=Laufzeit_FK),KD_FK_Jahr,0),"")</f>
        <v>591.588743245954</v>
      </c>
      <c r="J14" s="19" t="n">
        <f aca="false">IF($B14=1,H14+I14,"")</f>
        <v>717.274284459716</v>
      </c>
      <c r="K14" s="54" t="n">
        <f aca="false">IF($B14=1,G14-J14,"")</f>
        <v>-155.431790482664</v>
      </c>
      <c r="L14" s="55" t="n">
        <f aca="false">IF($B14=1,K14*1000000/Flaeche/12,"")</f>
        <v>-0.884743798284743</v>
      </c>
      <c r="M14" s="56" t="n">
        <f aca="false">IF($B14=1,K14*1000000/Wohnungen/12,"")</f>
        <v>-53.9693716953693</v>
      </c>
      <c r="N14" s="56" t="n">
        <f aca="false">IF($B14=1,N13+K14,"")</f>
        <v>-1481.93560495149</v>
      </c>
      <c r="O14" s="54" t="n">
        <f aca="false">IF($B14=1,G14-I14,"")</f>
        <v>-29.7462492689016</v>
      </c>
      <c r="P14" s="15" t="n">
        <f aca="false">IF($B14=1,IF(Nur_Zinsen=1,Eigenkapital,IF($A14&gt;=Laufzeit_EK,0,IF(Zins_EK=0,Eigenkapital*(1-$A14/Laufzeit_EK),MAX(0,Eigenkapital*(1+Zins_EK)^$A14-KD_EK_Jahr*((1+Zins_EK)^$A14-1)/Zins_EK)))),"")</f>
        <v>2487.66549766007</v>
      </c>
      <c r="Q14" s="15" t="n">
        <f aca="false">IF($B14=1,IF(Nur_Zinsen=1,Fremdkapital,IF($A14&gt;=Laufzeit_FK,0,IF(Zins_FK=0,Fremdkapital*(1-$A14/Laufzeit_FK),MAX(0,Fremdkapital*(1+Zins_FK)^$A14-KD_FK_Jahr*((1+Zins_FK)^$A14-1)/Zins_FK)))),"")</f>
        <v>10151.1223314084</v>
      </c>
      <c r="R14" s="57" t="n">
        <f aca="false">IF($B14=1,1/(1+Diskontsatz)^$A14,"")</f>
        <v>0.675564168825799</v>
      </c>
      <c r="S14" s="54" t="n">
        <f aca="false">IF($B14=1,K14*R14,"")</f>
        <v>-105.004148346526</v>
      </c>
      <c r="T14" s="18" t="n">
        <f aca="false">IF($B14=1,IF(K14&lt;0,$A14,""),"")</f>
        <v>10</v>
      </c>
    </row>
    <row r="15" customFormat="false" ht="15" hidden="false" customHeight="false" outlineLevel="0" collapsed="false">
      <c r="A15" s="18" t="n">
        <f aca="false">A14+1</f>
        <v>11</v>
      </c>
      <c r="B15" s="18" t="n">
        <f aca="false">IF($A15&lt;=Horizont,1,0)</f>
        <v>1</v>
      </c>
      <c r="C15" s="20" t="n">
        <f aca="false">IF($B15=1,Miete*(1+Mietsteigerung)^($A15-1),"")</f>
        <v>7.73235487787843</v>
      </c>
      <c r="D15" s="20" t="n">
        <f aca="false">IF($B15=1,Bewirtschaftung*(1+Kostensteigerung)^($A15-1),"")</f>
        <v>4.54684918658045</v>
      </c>
      <c r="E15" s="19" t="n">
        <f aca="false">IF($B15=1,C15*Flaeche*12/1000000,"")</f>
        <v>1358.42010494568</v>
      </c>
      <c r="F15" s="19" t="n">
        <f aca="false">IF($B15=1,D15*Flaeche*12/1000000,"")</f>
        <v>798.790465098453</v>
      </c>
      <c r="G15" s="19" t="n">
        <f aca="false">IF($B15=1,E15-F15,"")</f>
        <v>559.62963984723</v>
      </c>
      <c r="H15" s="19" t="n">
        <f aca="false">IF($B15=1,IF(OR(Nur_Zinsen=1,$A15&lt;=Laufzeit_EK),KD_EK_Jahr,0),"")</f>
        <v>125.685541213762</v>
      </c>
      <c r="I15" s="19" t="n">
        <f aca="false">IF($B15=1,IF(OR(Nur_Zinsen=1,$A15&lt;=Laufzeit_FK),KD_FK_Jahr,0),"")</f>
        <v>591.588743245954</v>
      </c>
      <c r="J15" s="19" t="n">
        <f aca="false">IF($B15=1,H15+I15,"")</f>
        <v>717.274284459716</v>
      </c>
      <c r="K15" s="54" t="n">
        <f aca="false">IF($B15=1,G15-J15,"")</f>
        <v>-157.644644612486</v>
      </c>
      <c r="L15" s="55" t="n">
        <f aca="false">IF($B15=1,K15*1000000/Flaeche/12,"")</f>
        <v>-0.897339734816061</v>
      </c>
      <c r="M15" s="56" t="n">
        <f aca="false">IF($B15=1,K15*1000000/Wohnungen/12,"")</f>
        <v>-54.7377238237797</v>
      </c>
      <c r="N15" s="56" t="n">
        <f aca="false">IF($B15=1,N14+K15,"")</f>
        <v>-1639.58024956398</v>
      </c>
      <c r="O15" s="54" t="n">
        <f aca="false">IF($B15=1,G15-I15,"")</f>
        <v>-31.9591033987235</v>
      </c>
      <c r="P15" s="15" t="n">
        <f aca="false">IF($B15=1,IF(Nur_Zinsen=1,Eigenkapital,IF($A15&gt;=Laufzeit_EK,0,IF(Zins_EK=0,Eigenkapital*(1-$A15/Laufzeit_EK),MAX(0,Eigenkapital*(1+Zins_EK)^$A15-KD_EK_Jahr*((1+Zins_EK)^$A15-1)/Zins_EK)))),"")</f>
        <v>2461.48657635271</v>
      </c>
      <c r="Q15" s="15" t="n">
        <f aca="false">IF($B15=1,IF(Nur_Zinsen=1,Fremdkapital,IF($A15&gt;=Laufzeit_FK,0,IF(Zins_FK=0,Fremdkapital*(1-$A15/Laufzeit_FK),MAX(0,Fremdkapital*(1+Zins_FK)^$A15-KD_FK_Jahr*((1+Zins_FK)^$A15-1)/Zins_FK)))),"")</f>
        <v>10067.0897047328</v>
      </c>
      <c r="R15" s="57" t="n">
        <f aca="false">IF($B15=1,1/(1+Diskontsatz)^$A15,"")</f>
        <v>0.649580931563268</v>
      </c>
      <c r="S15" s="54" t="n">
        <f aca="false">IF($B15=1,K15*R15,"")</f>
        <v>-102.402955103339</v>
      </c>
      <c r="T15" s="18" t="n">
        <f aca="false">IF($B15=1,IF(K15&lt;0,$A15,""),"")</f>
        <v>11</v>
      </c>
    </row>
    <row r="16" customFormat="false" ht="15" hidden="false" customHeight="false" outlineLevel="0" collapsed="false">
      <c r="A16" s="18" t="n">
        <f aca="false">A15+1</f>
        <v>12</v>
      </c>
      <c r="B16" s="18" t="n">
        <f aca="false">IF($A16&lt;=Horizont,1,0)</f>
        <v>1</v>
      </c>
      <c r="C16" s="20" t="n">
        <f aca="false">IF($B16=1,Miete*(1+Mietsteigerung)^($A16-1),"")</f>
        <v>7.80967842665722</v>
      </c>
      <c r="D16" s="20" t="n">
        <f aca="false">IF($B16=1,Bewirtschaftung*(1+Kostensteigerung)^($A16-1),"")</f>
        <v>4.63778617031205</v>
      </c>
      <c r="E16" s="19" t="n">
        <f aca="false">IF($B16=1,C16*Flaeche*12/1000000,"")</f>
        <v>1372.00430599514</v>
      </c>
      <c r="F16" s="19" t="n">
        <f aca="false">IF($B16=1,D16*Flaeche*12/1000000,"")</f>
        <v>814.766274400422</v>
      </c>
      <c r="G16" s="19" t="n">
        <f aca="false">IF($B16=1,E16-F16,"")</f>
        <v>557.238031594718</v>
      </c>
      <c r="H16" s="19" t="n">
        <f aca="false">IF($B16=1,IF(OR(Nur_Zinsen=1,$A16&lt;=Laufzeit_EK),KD_EK_Jahr,0),"")</f>
        <v>125.685541213762</v>
      </c>
      <c r="I16" s="19" t="n">
        <f aca="false">IF($B16=1,IF(OR(Nur_Zinsen=1,$A16&lt;=Laufzeit_FK),KD_FK_Jahr,0),"")</f>
        <v>591.588743245954</v>
      </c>
      <c r="J16" s="19" t="n">
        <f aca="false">IF($B16=1,H16+I16,"")</f>
        <v>717.274284459716</v>
      </c>
      <c r="K16" s="54" t="n">
        <f aca="false">IF($B16=1,G16-J16,"")</f>
        <v>-160.036252864998</v>
      </c>
      <c r="L16" s="55" t="n">
        <f aca="false">IF($B16=1,K16*1000000/Flaeche/12,"")</f>
        <v>-0.910953169768886</v>
      </c>
      <c r="M16" s="56" t="n">
        <f aca="false">IF($B16=1,K16*1000000/Wohnungen/12,"")</f>
        <v>-55.568143355902</v>
      </c>
      <c r="N16" s="56" t="n">
        <f aca="false">IF($B16=1,N15+K16,"")</f>
        <v>-1799.61650242898</v>
      </c>
      <c r="O16" s="54" t="n">
        <f aca="false">IF($B16=1,G16-I16,"")</f>
        <v>-34.3507116512358</v>
      </c>
      <c r="P16" s="15" t="n">
        <f aca="false">IF($B16=1,IF(Nur_Zinsen=1,Eigenkapital,IF($A16&gt;=Laufzeit_EK,0,IF(Zins_EK=0,Eigenkapital*(1-$A16/Laufzeit_EK),MAX(0,Eigenkapital*(1+Zins_EK)^$A16-KD_EK_Jahr*((1+Zins_EK)^$A16-1)/Zins_EK)))),"")</f>
        <v>2434.26049819306</v>
      </c>
      <c r="Q16" s="15" t="n">
        <f aca="false">IF($B16=1,IF(Nur_Zinsen=1,Fremdkapital,IF($A16&gt;=Laufzeit_FK,0,IF(Zins_FK=0,Fremdkapital*(1-$A16/Laufzeit_FK),MAX(0,Fremdkapital*(1+Zins_FK)^$A16-KD_FK_Jahr*((1+Zins_FK)^$A16-1)/Zins_FK)))),"")</f>
        <v>9978.85544672352</v>
      </c>
      <c r="R16" s="57" t="n">
        <f aca="false">IF($B16=1,1/(1+Diskontsatz)^$A16,"")</f>
        <v>0.624597049580065</v>
      </c>
      <c r="S16" s="54" t="n">
        <f aca="false">IF($B16=1,K16*R16,"")</f>
        <v>-99.958171365327</v>
      </c>
      <c r="T16" s="18" t="n">
        <f aca="false">IF($B16=1,IF(K16&lt;0,$A16,""),"")</f>
        <v>12</v>
      </c>
    </row>
    <row r="17" customFormat="false" ht="15" hidden="false" customHeight="false" outlineLevel="0" collapsed="false">
      <c r="A17" s="18" t="n">
        <f aca="false">A16+1</f>
        <v>13</v>
      </c>
      <c r="B17" s="18" t="n">
        <f aca="false">IF($A17&lt;=Horizont,1,0)</f>
        <v>1</v>
      </c>
      <c r="C17" s="20" t="n">
        <f aca="false">IF($B17=1,Miete*(1+Mietsteigerung)^($A17-1),"")</f>
        <v>7.88777521092379</v>
      </c>
      <c r="D17" s="20" t="n">
        <f aca="false">IF($B17=1,Bewirtschaftung*(1+Kostensteigerung)^($A17-1),"")</f>
        <v>4.7305418937183</v>
      </c>
      <c r="E17" s="19" t="n">
        <f aca="false">IF($B17=1,C17*Flaeche*12/1000000,"")</f>
        <v>1385.72434905509</v>
      </c>
      <c r="F17" s="19" t="n">
        <f aca="false">IF($B17=1,D17*Flaeche*12/1000000,"")</f>
        <v>831.06159988843</v>
      </c>
      <c r="G17" s="19" t="n">
        <f aca="false">IF($B17=1,E17-F17,"")</f>
        <v>554.662749166661</v>
      </c>
      <c r="H17" s="19" t="n">
        <f aca="false">IF($B17=1,IF(OR(Nur_Zinsen=1,$A17&lt;=Laufzeit_EK),KD_EK_Jahr,0),"")</f>
        <v>125.685541213762</v>
      </c>
      <c r="I17" s="19" t="n">
        <f aca="false">IF($B17=1,IF(OR(Nur_Zinsen=1,$A17&lt;=Laufzeit_FK),KD_FK_Jahr,0),"")</f>
        <v>591.588743245954</v>
      </c>
      <c r="J17" s="19" t="n">
        <f aca="false">IF($B17=1,H17+I17,"")</f>
        <v>717.274284459716</v>
      </c>
      <c r="K17" s="54" t="n">
        <f aca="false">IF($B17=1,G17-J17,"")</f>
        <v>-162.611535293055</v>
      </c>
      <c r="L17" s="55" t="n">
        <f aca="false">IF($B17=1,K17*1000000/Flaeche/12,"")</f>
        <v>-0.925612108908555</v>
      </c>
      <c r="M17" s="56" t="n">
        <f aca="false">IF($B17=1,K17*1000000/Wohnungen/12,"")</f>
        <v>-56.4623386434219</v>
      </c>
      <c r="N17" s="56" t="n">
        <f aca="false">IF($B17=1,N16+K17,"")</f>
        <v>-1962.22803772203</v>
      </c>
      <c r="O17" s="54" t="n">
        <f aca="false">IF($B17=1,G17-I17,"")</f>
        <v>-36.9259940792929</v>
      </c>
      <c r="P17" s="15" t="n">
        <f aca="false">IF($B17=1,IF(Nur_Zinsen=1,Eigenkapital,IF($A17&gt;=Laufzeit_EK,0,IF(Zins_EK=0,Eigenkapital*(1-$A17/Laufzeit_EK),MAX(0,Eigenkapital*(1+Zins_EK)^$A17-KD_EK_Jahr*((1+Zins_EK)^$A17-1)/Zins_EK)))),"")</f>
        <v>2405.94537690702</v>
      </c>
      <c r="Q17" s="15" t="n">
        <f aca="false">IF($B17=1,IF(Nur_Zinsen=1,Fremdkapital,IF($A17&gt;=Laufzeit_FK,0,IF(Zins_FK=0,Fremdkapital*(1-$A17/Laufzeit_FK),MAX(0,Fremdkapital*(1+Zins_FK)^$A17-KD_FK_Jahr*((1+Zins_FK)^$A17-1)/Zins_FK)))),"")</f>
        <v>9886.20947581375</v>
      </c>
      <c r="R17" s="57" t="n">
        <f aca="false">IF($B17=1,1/(1+Diskontsatz)^$A17,"")</f>
        <v>0.600574086134678</v>
      </c>
      <c r="S17" s="54" t="n">
        <f aca="false">IF($B17=1,K17*R17,"")</f>
        <v>-97.6602742035835</v>
      </c>
      <c r="T17" s="18" t="n">
        <f aca="false">IF($B17=1,IF(K17&lt;0,$A17,""),"")</f>
        <v>13</v>
      </c>
    </row>
    <row r="18" customFormat="false" ht="15" hidden="false" customHeight="false" outlineLevel="0" collapsed="false">
      <c r="A18" s="18" t="n">
        <f aca="false">A17+1</f>
        <v>14</v>
      </c>
      <c r="B18" s="18" t="n">
        <f aca="false">IF($A18&lt;=Horizont,1,0)</f>
        <v>1</v>
      </c>
      <c r="C18" s="20" t="n">
        <f aca="false">IF($B18=1,Miete*(1+Mietsteigerung)^($A18-1),"")</f>
        <v>7.96665296303303</v>
      </c>
      <c r="D18" s="20" t="n">
        <f aca="false">IF($B18=1,Bewirtschaftung*(1+Kostensteigerung)^($A18-1),"")</f>
        <v>4.82515273159266</v>
      </c>
      <c r="E18" s="19" t="n">
        <f aca="false">IF($B18=1,C18*Flaeche*12/1000000,"")</f>
        <v>1399.58159254564</v>
      </c>
      <c r="F18" s="19" t="n">
        <f aca="false">IF($B18=1,D18*Flaeche*12/1000000,"")</f>
        <v>847.682831886199</v>
      </c>
      <c r="G18" s="19" t="n">
        <f aca="false">IF($B18=1,E18-F18,"")</f>
        <v>551.898760659443</v>
      </c>
      <c r="H18" s="19" t="n">
        <f aca="false">IF($B18=1,IF(OR(Nur_Zinsen=1,$A18&lt;=Laufzeit_EK),KD_EK_Jahr,0),"")</f>
        <v>125.685541213762</v>
      </c>
      <c r="I18" s="19" t="n">
        <f aca="false">IF($B18=1,IF(OR(Nur_Zinsen=1,$A18&lt;=Laufzeit_FK),KD_FK_Jahr,0),"")</f>
        <v>591.588743245954</v>
      </c>
      <c r="J18" s="19" t="n">
        <f aca="false">IF($B18=1,H18+I18,"")</f>
        <v>717.274284459716</v>
      </c>
      <c r="K18" s="54" t="n">
        <f aca="false">IF($B18=1,G18-J18,"")</f>
        <v>-165.375523800273</v>
      </c>
      <c r="L18" s="55" t="n">
        <f aca="false">IF($B18=1,K18*1000000/Flaeche/12,"")</f>
        <v>-0.941345194673684</v>
      </c>
      <c r="M18" s="56" t="n">
        <f aca="false">IF($B18=1,K18*1000000/Wohnungen/12,"")</f>
        <v>-57.4220568750947</v>
      </c>
      <c r="N18" s="56" t="n">
        <f aca="false">IF($B18=1,N17+K18,"")</f>
        <v>-2127.60356152231</v>
      </c>
      <c r="O18" s="54" t="n">
        <f aca="false">IF($B18=1,G18-I18,"")</f>
        <v>-39.6899825865106</v>
      </c>
      <c r="P18" s="15" t="n">
        <f aca="false">IF($B18=1,IF(Nur_Zinsen=1,Eigenkapital,IF($A18&gt;=Laufzeit_EK,0,IF(Zins_EK=0,Eigenkapital*(1-$A18/Laufzeit_EK),MAX(0,Eigenkapital*(1+Zins_EK)^$A18-KD_EK_Jahr*((1+Zins_EK)^$A18-1)/Zins_EK)))),"")</f>
        <v>2376.49765076954</v>
      </c>
      <c r="Q18" s="15" t="n">
        <f aca="false">IF($B18=1,IF(Nur_Zinsen=1,Fremdkapital,IF($A18&gt;=Laufzeit_FK,0,IF(Zins_FK=0,Fremdkapital*(1-$A18/Laufzeit_FK),MAX(0,Fremdkapital*(1+Zins_FK)^$A18-KD_FK_Jahr*((1+Zins_FK)^$A18-1)/Zins_FK)))),"")</f>
        <v>9788.93120635848</v>
      </c>
      <c r="R18" s="57" t="n">
        <f aca="false">IF($B18=1,1/(1+Diskontsatz)^$A18,"")</f>
        <v>0.577475082821806</v>
      </c>
      <c r="S18" s="54" t="n">
        <f aca="false">IF($B18=1,K18*R18,"")</f>
        <v>-95.500244303262</v>
      </c>
      <c r="T18" s="18" t="n">
        <f aca="false">IF($B18=1,IF(K18&lt;0,$A18,""),"")</f>
        <v>14</v>
      </c>
    </row>
    <row r="19" customFormat="false" ht="15" hidden="false" customHeight="false" outlineLevel="0" collapsed="false">
      <c r="A19" s="18" t="n">
        <f aca="false">A18+1</f>
        <v>15</v>
      </c>
      <c r="B19" s="18" t="n">
        <f aca="false">IF($A19&lt;=Horizont,1,0)</f>
        <v>1</v>
      </c>
      <c r="C19" s="20" t="n">
        <f aca="false">IF($B19=1,Miete*(1+Mietsteigerung)^($A19-1),"")</f>
        <v>8.04631949266336</v>
      </c>
      <c r="D19" s="20" t="n">
        <f aca="false">IF($B19=1,Bewirtschaftung*(1+Kostensteigerung)^($A19-1),"")</f>
        <v>4.92165578622451</v>
      </c>
      <c r="E19" s="19" t="n">
        <f aca="false">IF($B19=1,C19*Flaeche*12/1000000,"")</f>
        <v>1413.5774084711</v>
      </c>
      <c r="F19" s="19" t="n">
        <f aca="false">IF($B19=1,D19*Flaeche*12/1000000,"")</f>
        <v>864.636488523923</v>
      </c>
      <c r="G19" s="19" t="n">
        <f aca="false">IF($B19=1,E19-F19,"")</f>
        <v>548.940919947176</v>
      </c>
      <c r="H19" s="19" t="n">
        <f aca="false">IF($B19=1,IF(OR(Nur_Zinsen=1,$A19&lt;=Laufzeit_EK),KD_EK_Jahr,0),"")</f>
        <v>125.685541213762</v>
      </c>
      <c r="I19" s="19" t="n">
        <f aca="false">IF($B19=1,IF(OR(Nur_Zinsen=1,$A19&lt;=Laufzeit_FK),KD_FK_Jahr,0),"")</f>
        <v>591.588743245954</v>
      </c>
      <c r="J19" s="19" t="n">
        <f aca="false">IF($B19=1,H19+I19,"")</f>
        <v>717.274284459716</v>
      </c>
      <c r="K19" s="54" t="n">
        <f aca="false">IF($B19=1,G19-J19,"")</f>
        <v>-168.33336451254</v>
      </c>
      <c r="L19" s="55" t="n">
        <f aca="false">IF($B19=1,K19*1000000/Flaeche/12,"")</f>
        <v>-0.958181719675206</v>
      </c>
      <c r="M19" s="56" t="n">
        <f aca="false">IF($B19=1,K19*1000000/Wohnungen/12,"")</f>
        <v>-58.4490849001876</v>
      </c>
      <c r="N19" s="56" t="n">
        <f aca="false">IF($B19=1,N18+K19,"")</f>
        <v>-2295.93692603485</v>
      </c>
      <c r="O19" s="54" t="n">
        <f aca="false">IF($B19=1,G19-I19,"")</f>
        <v>-42.647823298778</v>
      </c>
      <c r="P19" s="15" t="n">
        <f aca="false">IF($B19=1,IF(Nur_Zinsen=1,Eigenkapital,IF($A19&gt;=Laufzeit_EK,0,IF(Zins_EK=0,Eigenkapital*(1-$A19/Laufzeit_EK),MAX(0,Eigenkapital*(1+Zins_EK)^$A19-KD_EK_Jahr*((1+Zins_EK)^$A19-1)/Zins_EK)))),"")</f>
        <v>2345.87201558656</v>
      </c>
      <c r="Q19" s="15" t="n">
        <f aca="false">IF($B19=1,IF(Nur_Zinsen=1,Fremdkapital,IF($A19&gt;=Laufzeit_FK,0,IF(Zins_FK=0,Fremdkapital*(1-$A19/Laufzeit_FK),MAX(0,Fremdkapital*(1+Zins_FK)^$A19-KD_FK_Jahr*((1+Zins_FK)^$A19-1)/Zins_FK)))),"")</f>
        <v>9686.78902343045</v>
      </c>
      <c r="R19" s="57" t="n">
        <f aca="false">IF($B19=1,1/(1+Diskontsatz)^$A19,"")</f>
        <v>0.555264502713275</v>
      </c>
      <c r="S19" s="54" t="n">
        <f aca="false">IF($B19=1,K19*R19,"")</f>
        <v>-93.469541936108</v>
      </c>
      <c r="T19" s="18" t="n">
        <f aca="false">IF($B19=1,IF(K19&lt;0,$A19,""),"")</f>
        <v>15</v>
      </c>
    </row>
    <row r="20" customFormat="false" ht="15" hidden="false" customHeight="false" outlineLevel="0" collapsed="false">
      <c r="A20" s="18" t="n">
        <f aca="false">A19+1</f>
        <v>16</v>
      </c>
      <c r="B20" s="18" t="n">
        <f aca="false">IF($A20&lt;=Horizont,1,0)</f>
        <v>1</v>
      </c>
      <c r="C20" s="20" t="n">
        <f aca="false">IF($B20=1,Miete*(1+Mietsteigerung)^($A20-1),"")</f>
        <v>8.12678268758999</v>
      </c>
      <c r="D20" s="20" t="n">
        <f aca="false">IF($B20=1,Bewirtschaftung*(1+Kostensteigerung)^($A20-1),"")</f>
        <v>5.02008890194901</v>
      </c>
      <c r="E20" s="19" t="n">
        <f aca="false">IF($B20=1,C20*Flaeche*12/1000000,"")</f>
        <v>1427.71318255581</v>
      </c>
      <c r="F20" s="19" t="n">
        <f aca="false">IF($B20=1,D20*Flaeche*12/1000000,"")</f>
        <v>881.929218294401</v>
      </c>
      <c r="G20" s="19" t="n">
        <f aca="false">IF($B20=1,E20-F20,"")</f>
        <v>545.783964261408</v>
      </c>
      <c r="H20" s="19" t="n">
        <f aca="false">IF($B20=1,IF(OR(Nur_Zinsen=1,$A20&lt;=Laufzeit_EK),KD_EK_Jahr,0),"")</f>
        <v>125.685541213762</v>
      </c>
      <c r="I20" s="19" t="n">
        <f aca="false">IF($B20=1,IF(OR(Nur_Zinsen=1,$A20&lt;=Laufzeit_FK),KD_FK_Jahr,0),"")</f>
        <v>591.588743245954</v>
      </c>
      <c r="J20" s="19" t="n">
        <f aca="false">IF($B20=1,H20+I20,"")</f>
        <v>717.274284459716</v>
      </c>
      <c r="K20" s="54" t="n">
        <f aca="false">IF($B20=1,G20-J20,"")</f>
        <v>-171.490320198308</v>
      </c>
      <c r="L20" s="55" t="n">
        <f aca="false">IF($B20=1,K20*1000000/Flaeche/12,"")</f>
        <v>-0.976151640473063</v>
      </c>
      <c r="M20" s="56" t="n">
        <f aca="false">IF($B20=1,K20*1000000/Wohnungen/12,"")</f>
        <v>-59.5452500688568</v>
      </c>
      <c r="N20" s="56" t="n">
        <f aca="false">IF($B20=1,N19+K20,"")</f>
        <v>-2467.42724623315</v>
      </c>
      <c r="O20" s="54" t="n">
        <f aca="false">IF($B20=1,G20-I20,"")</f>
        <v>-45.8047789845456</v>
      </c>
      <c r="P20" s="15" t="n">
        <f aca="false">IF($B20=1,IF(Nur_Zinsen=1,Eigenkapital,IF($A20&gt;=Laufzeit_EK,0,IF(Zins_EK=0,Eigenkapital*(1-$A20/Laufzeit_EK),MAX(0,Eigenkapital*(1+Zins_EK)^$A20-KD_EK_Jahr*((1+Zins_EK)^$A20-1)/Zins_EK)))),"")</f>
        <v>2314.02135499626</v>
      </c>
      <c r="Q20" s="15" t="n">
        <f aca="false">IF($B20=1,IF(Nur_Zinsen=1,Fremdkapital,IF($A20&gt;=Laufzeit_FK,0,IF(Zins_FK=0,Fremdkapital*(1-$A20/Laufzeit_FK),MAX(0,Fremdkapital*(1+Zins_FK)^$A20-KD_FK_Jahr*((1+Zins_FK)^$A20-1)/Zins_FK)))),"")</f>
        <v>9579.53973135602</v>
      </c>
      <c r="R20" s="57" t="n">
        <f aca="false">IF($B20=1,1/(1+Diskontsatz)^$A20,"")</f>
        <v>0.533908175685841</v>
      </c>
      <c r="S20" s="54" t="n">
        <f aca="false">IF($B20=1,K20*R20,"")</f>
        <v>-91.5600840048592</v>
      </c>
      <c r="T20" s="18" t="n">
        <f aca="false">IF($B20=1,IF(K20&lt;0,$A20,""),"")</f>
        <v>16</v>
      </c>
    </row>
    <row r="21" customFormat="false" ht="15" hidden="false" customHeight="false" outlineLevel="0" collapsed="false">
      <c r="A21" s="18" t="n">
        <f aca="false">A20+1</f>
        <v>17</v>
      </c>
      <c r="B21" s="18" t="n">
        <f aca="false">IF($A21&lt;=Horizont,1,0)</f>
        <v>1</v>
      </c>
      <c r="C21" s="20" t="n">
        <f aca="false">IF($B21=1,Miete*(1+Mietsteigerung)^($A21-1),"")</f>
        <v>8.20805051446589</v>
      </c>
      <c r="D21" s="20" t="n">
        <f aca="false">IF($B21=1,Bewirtschaftung*(1+Kostensteigerung)^($A21-1),"")</f>
        <v>5.12049067998798</v>
      </c>
      <c r="E21" s="19" t="n">
        <f aca="false">IF($B21=1,C21*Flaeche*12/1000000,"")</f>
        <v>1441.99031438137</v>
      </c>
      <c r="F21" s="19" t="n">
        <f aca="false">IF($B21=1,D21*Flaeche*12/1000000,"")</f>
        <v>899.567802660289</v>
      </c>
      <c r="G21" s="19" t="n">
        <f aca="false">IF($B21=1,E21-F21,"")</f>
        <v>542.422511721079</v>
      </c>
      <c r="H21" s="19" t="n">
        <f aca="false">IF($B21=1,IF(OR(Nur_Zinsen=1,$A21&lt;=Laufzeit_EK),KD_EK_Jahr,0),"")</f>
        <v>125.685541213762</v>
      </c>
      <c r="I21" s="19" t="n">
        <f aca="false">IF($B21=1,IF(OR(Nur_Zinsen=1,$A21&lt;=Laufzeit_FK),KD_FK_Jahr,0),"")</f>
        <v>591.588743245954</v>
      </c>
      <c r="J21" s="19" t="n">
        <f aca="false">IF($B21=1,H21+I21,"")</f>
        <v>717.274284459716</v>
      </c>
      <c r="K21" s="54" t="n">
        <f aca="false">IF($B21=1,G21-J21,"")</f>
        <v>-174.851772738637</v>
      </c>
      <c r="L21" s="55" t="n">
        <f aca="false">IF($B21=1,K21*1000000/Flaeche/12,"")</f>
        <v>-0.995285591636141</v>
      </c>
      <c r="M21" s="56" t="n">
        <f aca="false">IF($B21=1,K21*1000000/Wohnungen/12,"")</f>
        <v>-60.7124210898046</v>
      </c>
      <c r="N21" s="56" t="n">
        <f aca="false">IF($B21=1,N20+K21,"")</f>
        <v>-2642.27901897179</v>
      </c>
      <c r="O21" s="54" t="n">
        <f aca="false">IF($B21=1,G21-I21,"")</f>
        <v>-49.1662315248751</v>
      </c>
      <c r="P21" s="15" t="n">
        <f aca="false">IF($B21=1,IF(Nur_Zinsen=1,Eigenkapital,IF($A21&gt;=Laufzeit_EK,0,IF(Zins_EK=0,Eigenkapital*(1-$A21/Laufzeit_EK),MAX(0,Eigenkapital*(1+Zins_EK)^$A21-KD_EK_Jahr*((1+Zins_EK)^$A21-1)/Zins_EK)))),"")</f>
        <v>2280.89666798235</v>
      </c>
      <c r="Q21" s="15" t="n">
        <f aca="false">IF($B21=1,IF(Nur_Zinsen=1,Fremdkapital,IF($A21&gt;=Laufzeit_FK,0,IF(Zins_FK=0,Fremdkapital*(1-$A21/Laufzeit_FK),MAX(0,Fremdkapital*(1+Zins_FK)^$A21-KD_FK_Jahr*((1+Zins_FK)^$A21-1)/Zins_FK)))),"")</f>
        <v>9466.92797467786</v>
      </c>
      <c r="R21" s="57" t="n">
        <f aca="false">IF($B21=1,1/(1+Diskontsatz)^$A21,"")</f>
        <v>0.51337324585177</v>
      </c>
      <c r="S21" s="54" t="n">
        <f aca="false">IF($B21=1,K21*R21,"")</f>
        <v>-89.7642221137703</v>
      </c>
      <c r="T21" s="18" t="n">
        <f aca="false">IF($B21=1,IF(K21&lt;0,$A21,""),"")</f>
        <v>17</v>
      </c>
    </row>
    <row r="22" customFormat="false" ht="15" hidden="false" customHeight="false" outlineLevel="0" collapsed="false">
      <c r="A22" s="18" t="n">
        <f aca="false">A21+1</f>
        <v>18</v>
      </c>
      <c r="B22" s="18" t="n">
        <f aca="false">IF($A22&lt;=Horizont,1,0)</f>
        <v>1</v>
      </c>
      <c r="C22" s="20" t="n">
        <f aca="false">IF($B22=1,Miete*(1+Mietsteigerung)^($A22-1),"")</f>
        <v>8.29013101961055</v>
      </c>
      <c r="D22" s="20" t="n">
        <f aca="false">IF($B22=1,Bewirtschaftung*(1+Kostensteigerung)^($A22-1),"")</f>
        <v>5.22290049358775</v>
      </c>
      <c r="E22" s="19" t="n">
        <f aca="false">IF($B22=1,C22*Flaeche*12/1000000,"")</f>
        <v>1456.41021752518</v>
      </c>
      <c r="F22" s="19" t="n">
        <f aca="false">IF($B22=1,D22*Flaeche*12/1000000,"")</f>
        <v>917.559158713495</v>
      </c>
      <c r="G22" s="19" t="n">
        <f aca="false">IF($B22=1,E22-F22,"")</f>
        <v>538.851058811686</v>
      </c>
      <c r="H22" s="19" t="n">
        <f aca="false">IF($B22=1,IF(OR(Nur_Zinsen=1,$A22&lt;=Laufzeit_EK),KD_EK_Jahr,0),"")</f>
        <v>125.685541213762</v>
      </c>
      <c r="I22" s="19" t="n">
        <f aca="false">IF($B22=1,IF(OR(Nur_Zinsen=1,$A22&lt;=Laufzeit_FK),KD_FK_Jahr,0),"")</f>
        <v>591.588743245954</v>
      </c>
      <c r="J22" s="19" t="n">
        <f aca="false">IF($B22=1,H22+I22,"")</f>
        <v>717.274284459716</v>
      </c>
      <c r="K22" s="54" t="n">
        <f aca="false">IF($B22=1,G22-J22,"")</f>
        <v>-178.42322564803</v>
      </c>
      <c r="L22" s="55" t="n">
        <f aca="false">IF($B22=1,K22*1000000/Flaeche/12,"")</f>
        <v>-1.01561490009125</v>
      </c>
      <c r="M22" s="56" t="n">
        <f aca="false">IF($B22=1,K22*1000000/Wohnungen/12,"")</f>
        <v>-61.952508905566</v>
      </c>
      <c r="N22" s="56" t="n">
        <f aca="false">IF($B22=1,N21+K22,"")</f>
        <v>-2820.70224461982</v>
      </c>
      <c r="O22" s="54" t="n">
        <f aca="false">IF($B22=1,G22-I22,"")</f>
        <v>-52.7376844342679</v>
      </c>
      <c r="P22" s="15" t="n">
        <f aca="false">IF($B22=1,IF(Nur_Zinsen=1,Eigenkapital,IF($A22&gt;=Laufzeit_EK,0,IF(Zins_EK=0,Eigenkapital*(1-$A22/Laufzeit_EK),MAX(0,Eigenkapital*(1+Zins_EK)^$A22-KD_EK_Jahr*((1+Zins_EK)^$A22-1)/Zins_EK)))),"")</f>
        <v>2246.44699348788</v>
      </c>
      <c r="Q22" s="15" t="n">
        <f aca="false">IF($B22=1,IF(Nur_Zinsen=1,Fremdkapital,IF($A22&gt;=Laufzeit_FK,0,IF(Zins_FK=0,Fremdkapital*(1-$A22/Laufzeit_FK),MAX(0,Fremdkapital*(1+Zins_FK)^$A22-KD_FK_Jahr*((1+Zins_FK)^$A22-1)/Zins_FK)))),"")</f>
        <v>9348.6856301658</v>
      </c>
      <c r="R22" s="57" t="n">
        <f aca="false">IF($B22=1,1/(1+Diskontsatz)^$A22,"")</f>
        <v>0.493628121011318</v>
      </c>
      <c r="S22" s="54" t="n">
        <f aca="false">IF($B22=1,K22*R22,"")</f>
        <v>-88.0747216214154</v>
      </c>
      <c r="T22" s="18" t="n">
        <f aca="false">IF($B22=1,IF(K22&lt;0,$A22,""),"")</f>
        <v>18</v>
      </c>
    </row>
    <row r="23" customFormat="false" ht="15" hidden="false" customHeight="false" outlineLevel="0" collapsed="false">
      <c r="A23" s="18" t="n">
        <f aca="false">A22+1</f>
        <v>19</v>
      </c>
      <c r="B23" s="18" t="n">
        <f aca="false">IF($A23&lt;=Horizont,1,0)</f>
        <v>1</v>
      </c>
      <c r="C23" s="20" t="n">
        <f aca="false">IF($B23=1,Miete*(1+Mietsteigerung)^($A23-1),"")</f>
        <v>8.37303232980666</v>
      </c>
      <c r="D23" s="20" t="n">
        <f aca="false">IF($B23=1,Bewirtschaftung*(1+Kostensteigerung)^($A23-1),"")</f>
        <v>5.3273585034595</v>
      </c>
      <c r="E23" s="19" t="n">
        <f aca="false">IF($B23=1,C23*Flaeche*12/1000000,"")</f>
        <v>1470.97431970043</v>
      </c>
      <c r="F23" s="19" t="n">
        <f aca="false">IF($B23=1,D23*Flaeche*12/1000000,"")</f>
        <v>935.910341887765</v>
      </c>
      <c r="G23" s="19" t="n">
        <f aca="false">IF($B23=1,E23-F23,"")</f>
        <v>535.063977812668</v>
      </c>
      <c r="H23" s="19" t="n">
        <f aca="false">IF($B23=1,IF(OR(Nur_Zinsen=1,$A23&lt;=Laufzeit_EK),KD_EK_Jahr,0),"")</f>
        <v>125.685541213762</v>
      </c>
      <c r="I23" s="19" t="n">
        <f aca="false">IF($B23=1,IF(OR(Nur_Zinsen=1,$A23&lt;=Laufzeit_FK),KD_FK_Jahr,0),"")</f>
        <v>591.588743245954</v>
      </c>
      <c r="J23" s="19" t="n">
        <f aca="false">IF($B23=1,H23+I23,"")</f>
        <v>717.274284459716</v>
      </c>
      <c r="K23" s="54" t="n">
        <f aca="false">IF($B23=1,G23-J23,"")</f>
        <v>-182.210306647048</v>
      </c>
      <c r="L23" s="55" t="n">
        <f aca="false">IF($B23=1,K23*1000000/Flaeche/12,"")</f>
        <v>-1.03717159976689</v>
      </c>
      <c r="M23" s="56" t="n">
        <f aca="false">IF($B23=1,K23*1000000/Wohnungen/12,"")</f>
        <v>-63.2674675857805</v>
      </c>
      <c r="N23" s="56" t="n">
        <f aca="false">IF($B23=1,N22+K23,"")</f>
        <v>-3002.91255126687</v>
      </c>
      <c r="O23" s="54" t="n">
        <f aca="false">IF($B23=1,G23-I23,"")</f>
        <v>-56.5247654332857</v>
      </c>
      <c r="P23" s="15" t="n">
        <f aca="false">IF($B23=1,IF(Nur_Zinsen=1,Eigenkapital,IF($A23&gt;=Laufzeit_EK,0,IF(Zins_EK=0,Eigenkapital*(1-$A23/Laufzeit_EK),MAX(0,Eigenkapital*(1+Zins_EK)^$A23-KD_EK_Jahr*((1+Zins_EK)^$A23-1)/Zins_EK)))),"")</f>
        <v>2210.61933201363</v>
      </c>
      <c r="Q23" s="15" t="n">
        <f aca="false">IF($B23=1,IF(Nur_Zinsen=1,Fremdkapital,IF($A23&gt;=Laufzeit_FK,0,IF(Zins_FK=0,Fremdkapital*(1-$A23/Laufzeit_FK),MAX(0,Fremdkapital*(1+Zins_FK)^$A23-KD_FK_Jahr*((1+Zins_FK)^$A23-1)/Zins_FK)))),"")</f>
        <v>9224.53116842814</v>
      </c>
      <c r="R23" s="57" t="n">
        <f aca="false">IF($B23=1,1/(1+Diskontsatz)^$A23,"")</f>
        <v>0.474642424049344</v>
      </c>
      <c r="S23" s="54" t="n">
        <f aca="false">IF($B23=1,K23*R23,"")</f>
        <v>-86.484741633729</v>
      </c>
      <c r="T23" s="18" t="n">
        <f aca="false">IF($B23=1,IF(K23&lt;0,$A23,""),"")</f>
        <v>19</v>
      </c>
    </row>
    <row r="24" customFormat="false" ht="15" hidden="false" customHeight="false" outlineLevel="0" collapsed="false">
      <c r="A24" s="18" t="n">
        <f aca="false">A23+1</f>
        <v>20</v>
      </c>
      <c r="B24" s="18" t="n">
        <f aca="false">IF($A24&lt;=Horizont,1,0)</f>
        <v>1</v>
      </c>
      <c r="C24" s="20" t="n">
        <f aca="false">IF($B24=1,Miete*(1+Mietsteigerung)^($A24-1),"")</f>
        <v>8.45676265310472</v>
      </c>
      <c r="D24" s="20" t="n">
        <f aca="false">IF($B24=1,Bewirtschaftung*(1+Kostensteigerung)^($A24-1),"")</f>
        <v>5.43390567352869</v>
      </c>
      <c r="E24" s="19" t="n">
        <f aca="false">IF($B24=1,C24*Flaeche*12/1000000,"")</f>
        <v>1485.68406289744</v>
      </c>
      <c r="F24" s="19" t="n">
        <f aca="false">IF($B24=1,D24*Flaeche*12/1000000,"")</f>
        <v>954.62854872552</v>
      </c>
      <c r="G24" s="19" t="n">
        <f aca="false">IF($B24=1,E24-F24,"")</f>
        <v>531.055514171918</v>
      </c>
      <c r="H24" s="19" t="n">
        <f aca="false">IF($B24=1,IF(OR(Nur_Zinsen=1,$A24&lt;=Laufzeit_EK),KD_EK_Jahr,0),"")</f>
        <v>125.685541213762</v>
      </c>
      <c r="I24" s="19" t="n">
        <f aca="false">IF($B24=1,IF(OR(Nur_Zinsen=1,$A24&lt;=Laufzeit_FK),KD_FK_Jahr,0),"")</f>
        <v>591.588743245954</v>
      </c>
      <c r="J24" s="19" t="n">
        <f aca="false">IF($B24=1,H24+I24,"")</f>
        <v>717.274284459716</v>
      </c>
      <c r="K24" s="54" t="n">
        <f aca="false">IF($B24=1,G24-J24,"")</f>
        <v>-186.218770287798</v>
      </c>
      <c r="L24" s="55" t="n">
        <f aca="false">IF($B24=1,K24*1000000/Flaeche/12,"")</f>
        <v>-1.05998844653801</v>
      </c>
      <c r="M24" s="56" t="n">
        <f aca="false">IF($B24=1,K24*1000000/Wohnungen/12,"")</f>
        <v>-64.6592952388189</v>
      </c>
      <c r="N24" s="56" t="n">
        <f aca="false">IF($B24=1,N23+K24,"")</f>
        <v>-3189.13132155467</v>
      </c>
      <c r="O24" s="54" t="n">
        <f aca="false">IF($B24=1,G24-I24,"")</f>
        <v>-60.5332290740363</v>
      </c>
      <c r="P24" s="15" t="n">
        <f aca="false">IF($B24=1,IF(Nur_Zinsen=1,Eigenkapital,IF($A24&gt;=Laufzeit_EK,0,IF(Zins_EK=0,Eigenkapital*(1-$A24/Laufzeit_EK),MAX(0,Eigenkapital*(1+Zins_EK)^$A24-KD_EK_Jahr*((1+Zins_EK)^$A24-1)/Zins_EK)))),"")</f>
        <v>2173.35856408041</v>
      </c>
      <c r="Q24" s="15" t="n">
        <f aca="false">IF($B24=1,IF(Nur_Zinsen=1,Fremdkapital,IF($A24&gt;=Laufzeit_FK,0,IF(Zins_FK=0,Fremdkapital*(1-$A24/Laufzeit_FK),MAX(0,Fremdkapital*(1+Zins_FK)^$A24-KD_FK_Jahr*((1+Zins_FK)^$A24-1)/Zins_FK)))),"")</f>
        <v>9094.16898360359</v>
      </c>
      <c r="R24" s="57" t="n">
        <f aca="false">IF($B24=1,1/(1+Diskontsatz)^$A24,"")</f>
        <v>0.456386946201292</v>
      </c>
      <c r="S24" s="54" t="n">
        <f aca="false">IF($B24=1,K24*R24,"")</f>
        <v>-84.9878158970082</v>
      </c>
      <c r="T24" s="18" t="n">
        <f aca="false">IF($B24=1,IF(K24&lt;0,$A24,""),"")</f>
        <v>20</v>
      </c>
    </row>
    <row r="25" customFormat="false" ht="15" hidden="false" customHeight="false" outlineLevel="0" collapsed="false">
      <c r="A25" s="18" t="n">
        <f aca="false">A24+1</f>
        <v>21</v>
      </c>
      <c r="B25" s="18" t="n">
        <f aca="false">IF($A25&lt;=Horizont,1,0)</f>
        <v>1</v>
      </c>
      <c r="C25" s="20" t="n">
        <f aca="false">IF($B25=1,Miete*(1+Mietsteigerung)^($A25-1),"")</f>
        <v>8.54133027963577</v>
      </c>
      <c r="D25" s="20" t="n">
        <f aca="false">IF($B25=1,Bewirtschaftung*(1+Kostensteigerung)^($A25-1),"")</f>
        <v>5.54258378699926</v>
      </c>
      <c r="E25" s="19" t="n">
        <f aca="false">IF($B25=1,C25*Flaeche*12/1000000,"")</f>
        <v>1500.54090352641</v>
      </c>
      <c r="F25" s="19" t="n">
        <f aca="false">IF($B25=1,D25*Flaeche*12/1000000,"")</f>
        <v>973.721119700031</v>
      </c>
      <c r="G25" s="19" t="n">
        <f aca="false">IF($B25=1,E25-F25,"")</f>
        <v>526.819783826381</v>
      </c>
      <c r="H25" s="19" t="n">
        <f aca="false">IF($B25=1,IF(OR(Nur_Zinsen=1,$A25&lt;=Laufzeit_EK),KD_EK_Jahr,0),"")</f>
        <v>125.685541213762</v>
      </c>
      <c r="I25" s="19" t="n">
        <f aca="false">IF($B25=1,IF(OR(Nur_Zinsen=1,$A25&lt;=Laufzeit_FK),KD_FK_Jahr,0),"")</f>
        <v>591.588743245954</v>
      </c>
      <c r="J25" s="19" t="n">
        <f aca="false">IF($B25=1,H25+I25,"")</f>
        <v>717.274284459716</v>
      </c>
      <c r="K25" s="54" t="n">
        <f aca="false">IF($B25=1,G25-J25,"")</f>
        <v>-190.454500633335</v>
      </c>
      <c r="L25" s="55" t="n">
        <f aca="false">IF($B25=1,K25*1000000/Flaeche/12,"")</f>
        <v>-1.08409893347754</v>
      </c>
      <c r="M25" s="56" t="n">
        <f aca="false">IF($B25=1,K25*1000000/Wohnungen/12,"")</f>
        <v>-66.1300349421301</v>
      </c>
      <c r="N25" s="56" t="n">
        <f aca="false">IF($B25=1,N24+K25,"")</f>
        <v>-3379.585822188</v>
      </c>
      <c r="O25" s="54" t="n">
        <f aca="false">IF($B25=1,G25-I25,"")</f>
        <v>-64.7689594195725</v>
      </c>
      <c r="P25" s="15" t="n">
        <f aca="false">IF($B25=1,IF(Nur_Zinsen=1,Eigenkapital,IF($A25&gt;=Laufzeit_EK,0,IF(Zins_EK=0,Eigenkapital*(1-$A25/Laufzeit_EK),MAX(0,Eigenkapital*(1+Zins_EK)^$A25-KD_EK_Jahr*((1+Zins_EK)^$A25-1)/Zins_EK)))),"")</f>
        <v>2134.60736542987</v>
      </c>
      <c r="Q25" s="15" t="n">
        <f aca="false">IF($B25=1,IF(Nur_Zinsen=1,Fremdkapital,IF($A25&gt;=Laufzeit_FK,0,IF(Zins_FK=0,Fremdkapital*(1-$A25/Laufzeit_FK),MAX(0,Fremdkapital*(1+Zins_FK)^$A25-KD_FK_Jahr*((1+Zins_FK)^$A25-1)/Zins_FK)))),"")</f>
        <v>8957.28868953782</v>
      </c>
      <c r="R25" s="57" t="n">
        <f aca="false">IF($B25=1,1/(1+Diskontsatz)^$A25,"")</f>
        <v>0.438833602116627</v>
      </c>
      <c r="S25" s="54" t="n">
        <f aca="false">IF($B25=1,K25*R25,"")</f>
        <v>-83.5778345522497</v>
      </c>
      <c r="T25" s="18" t="n">
        <f aca="false">IF($B25=1,IF(K25&lt;0,$A25,""),"")</f>
        <v>21</v>
      </c>
    </row>
    <row r="26" customFormat="false" ht="15" hidden="false" customHeight="false" outlineLevel="0" collapsed="false">
      <c r="A26" s="18" t="n">
        <f aca="false">A25+1</f>
        <v>22</v>
      </c>
      <c r="B26" s="18" t="n">
        <f aca="false">IF($A26&lt;=Horizont,1,0)</f>
        <v>1</v>
      </c>
      <c r="C26" s="20" t="n">
        <f aca="false">IF($B26=1,Miete*(1+Mietsteigerung)^($A26-1),"")</f>
        <v>8.62674358243213</v>
      </c>
      <c r="D26" s="20" t="n">
        <f aca="false">IF($B26=1,Bewirtschaftung*(1+Kostensteigerung)^($A26-1),"")</f>
        <v>5.65343546273925</v>
      </c>
      <c r="E26" s="19" t="n">
        <f aca="false">IF($B26=1,C26*Flaeche*12/1000000,"")</f>
        <v>1515.54631256168</v>
      </c>
      <c r="F26" s="19" t="n">
        <f aca="false">IF($B26=1,D26*Flaeche*12/1000000,"")</f>
        <v>993.195542094031</v>
      </c>
      <c r="G26" s="19" t="n">
        <f aca="false">IF($B26=1,E26-F26,"")</f>
        <v>522.350770467645</v>
      </c>
      <c r="H26" s="19" t="n">
        <f aca="false">IF($B26=1,IF(OR(Nur_Zinsen=1,$A26&lt;=Laufzeit_EK),KD_EK_Jahr,0),"")</f>
        <v>125.685541213762</v>
      </c>
      <c r="I26" s="19" t="n">
        <f aca="false">IF($B26=1,IF(OR(Nur_Zinsen=1,$A26&lt;=Laufzeit_FK),KD_FK_Jahr,0),"")</f>
        <v>591.588743245954</v>
      </c>
      <c r="J26" s="19" t="n">
        <f aca="false">IF($B26=1,H26+I26,"")</f>
        <v>717.274284459716</v>
      </c>
      <c r="K26" s="54" t="n">
        <f aca="false">IF($B26=1,G26-J26,"")</f>
        <v>-194.923513992071</v>
      </c>
      <c r="L26" s="55" t="n">
        <f aca="false">IF($B26=1,K26*1000000/Flaeche/12,"")</f>
        <v>-1.10953730642117</v>
      </c>
      <c r="M26" s="56" t="n">
        <f aca="false">IF($B26=1,K26*1000000/Wohnungen/12,"")</f>
        <v>-67.6817756916913</v>
      </c>
      <c r="N26" s="56" t="n">
        <f aca="false">IF($B26=1,N25+K26,"")</f>
        <v>-3574.50933618007</v>
      </c>
      <c r="O26" s="54" t="n">
        <f aca="false">IF($B26=1,G26-I26,"")</f>
        <v>-69.2379727783089</v>
      </c>
      <c r="P26" s="15" t="n">
        <f aca="false">IF($B26=1,IF(Nur_Zinsen=1,Eigenkapital,IF($A26&gt;=Laufzeit_EK,0,IF(Zins_EK=0,Eigenkapital*(1-$A26/Laufzeit_EK),MAX(0,Eigenkapital*(1+Zins_EK)^$A26-KD_EK_Jahr*((1+Zins_EK)^$A26-1)/Zins_EK)))),"")</f>
        <v>2094.3061188333</v>
      </c>
      <c r="Q26" s="15" t="n">
        <f aca="false">IF($B26=1,IF(Nur_Zinsen=1,Fremdkapital,IF($A26&gt;=Laufzeit_FK,0,IF(Zins_FK=0,Fremdkapital*(1-$A26/Laufzeit_FK),MAX(0,Fremdkapital*(1+Zins_FK)^$A26-KD_FK_Jahr*((1+Zins_FK)^$A26-1)/Zins_FK)))),"")</f>
        <v>8813.56438076876</v>
      </c>
      <c r="R26" s="57" t="n">
        <f aca="false">IF($B26=1,1/(1+Diskontsatz)^$A26,"")</f>
        <v>0.421955386650603</v>
      </c>
      <c r="S26" s="54" t="n">
        <f aca="false">IF($B26=1,K26*R26,"")</f>
        <v>-82.2490267138185</v>
      </c>
      <c r="T26" s="18" t="n">
        <f aca="false">IF($B26=1,IF(K26&lt;0,$A26,""),"")</f>
        <v>22</v>
      </c>
    </row>
    <row r="27" customFormat="false" ht="15" hidden="false" customHeight="false" outlineLevel="0" collapsed="false">
      <c r="A27" s="18" t="n">
        <f aca="false">A26+1</f>
        <v>23</v>
      </c>
      <c r="B27" s="18" t="n">
        <f aca="false">IF($A27&lt;=Horizont,1,0)</f>
        <v>1</v>
      </c>
      <c r="C27" s="20" t="n">
        <f aca="false">IF($B27=1,Miete*(1+Mietsteigerung)^($A27-1),"")</f>
        <v>8.71301101825645</v>
      </c>
      <c r="D27" s="20" t="n">
        <f aca="false">IF($B27=1,Bewirtschaftung*(1+Kostensteigerung)^($A27-1),"")</f>
        <v>5.76650417199403</v>
      </c>
      <c r="E27" s="19" t="n">
        <f aca="false">IF($B27=1,C27*Flaeche*12/1000000,"")</f>
        <v>1530.70177568729</v>
      </c>
      <c r="F27" s="19" t="n">
        <f aca="false">IF($B27=1,D27*Flaeche*12/1000000,"")</f>
        <v>1013.05945293591</v>
      </c>
      <c r="G27" s="19" t="n">
        <f aca="false">IF($B27=1,E27-F27,"")</f>
        <v>517.642322751381</v>
      </c>
      <c r="H27" s="19" t="n">
        <f aca="false">IF($B27=1,IF(OR(Nur_Zinsen=1,$A27&lt;=Laufzeit_EK),KD_EK_Jahr,0),"")</f>
        <v>125.685541213762</v>
      </c>
      <c r="I27" s="19" t="n">
        <f aca="false">IF($B27=1,IF(OR(Nur_Zinsen=1,$A27&lt;=Laufzeit_FK),KD_FK_Jahr,0),"")</f>
        <v>591.588743245954</v>
      </c>
      <c r="J27" s="19" t="n">
        <f aca="false">IF($B27=1,H27+I27,"")</f>
        <v>717.274284459716</v>
      </c>
      <c r="K27" s="54" t="n">
        <f aca="false">IF($B27=1,G27-J27,"")</f>
        <v>-199.631961708335</v>
      </c>
      <c r="L27" s="55" t="n">
        <f aca="false">IF($B27=1,K27*1000000/Flaeche/12,"")</f>
        <v>-1.13633857985163</v>
      </c>
      <c r="M27" s="56" t="n">
        <f aca="false">IF($B27=1,K27*1000000/Wohnungen/12,"")</f>
        <v>-69.3166533709496</v>
      </c>
      <c r="N27" s="56" t="n">
        <f aca="false">IF($B27=1,N26+K27,"")</f>
        <v>-3774.14129788841</v>
      </c>
      <c r="O27" s="54" t="n">
        <f aca="false">IF($B27=1,G27-I27,"")</f>
        <v>-73.9464204945728</v>
      </c>
      <c r="P27" s="15" t="n">
        <f aca="false">IF($B27=1,IF(Nur_Zinsen=1,Eigenkapital,IF($A27&gt;=Laufzeit_EK,0,IF(Zins_EK=0,Eigenkapital*(1-$A27/Laufzeit_EK),MAX(0,Eigenkapital*(1+Zins_EK)^$A27-KD_EK_Jahr*((1+Zins_EK)^$A27-1)/Zins_EK)))),"")</f>
        <v>2052.39282237287</v>
      </c>
      <c r="Q27" s="15" t="n">
        <f aca="false">IF($B27=1,IF(Nur_Zinsen=1,Fremdkapital,IF($A27&gt;=Laufzeit_FK,0,IF(Zins_FK=0,Fremdkapital*(1-$A27/Laufzeit_FK),MAX(0,Fremdkapital*(1+Zins_FK)^$A27-KD_FK_Jahr*((1+Zins_FK)^$A27-1)/Zins_FK)))),"")</f>
        <v>8662.65385656124</v>
      </c>
      <c r="R27" s="57" t="n">
        <f aca="false">IF($B27=1,1/(1+Diskontsatz)^$A27,"")</f>
        <v>0.405726333317887</v>
      </c>
      <c r="S27" s="54" t="n">
        <f aca="false">IF($B27=1,K27*R27,"")</f>
        <v>-80.9959438369796</v>
      </c>
      <c r="T27" s="18" t="n">
        <f aca="false">IF($B27=1,IF(K27&lt;0,$A27,""),"")</f>
        <v>23</v>
      </c>
    </row>
    <row r="28" customFormat="false" ht="15" hidden="false" customHeight="false" outlineLevel="0" collapsed="false">
      <c r="A28" s="18" t="n">
        <f aca="false">A27+1</f>
        <v>24</v>
      </c>
      <c r="B28" s="18" t="n">
        <f aca="false">IF($A28&lt;=Horizont,1,0)</f>
        <v>1</v>
      </c>
      <c r="C28" s="20" t="n">
        <f aca="false">IF($B28=1,Miete*(1+Mietsteigerung)^($A28-1),"")</f>
        <v>8.80014112843901</v>
      </c>
      <c r="D28" s="20" t="n">
        <f aca="false">IF($B28=1,Bewirtschaftung*(1+Kostensteigerung)^($A28-1),"")</f>
        <v>5.88183425543392</v>
      </c>
      <c r="E28" s="19" t="n">
        <f aca="false">IF($B28=1,C28*Flaeche*12/1000000,"")</f>
        <v>1546.00879344417</v>
      </c>
      <c r="F28" s="19" t="n">
        <f aca="false">IF($B28=1,D28*Flaeche*12/1000000,"")</f>
        <v>1033.32064199463</v>
      </c>
      <c r="G28" s="19" t="n">
        <f aca="false">IF($B28=1,E28-F28,"")</f>
        <v>512.688151449536</v>
      </c>
      <c r="H28" s="19" t="n">
        <f aca="false">IF($B28=1,IF(OR(Nur_Zinsen=1,$A28&lt;=Laufzeit_EK),KD_EK_Jahr,0),"")</f>
        <v>125.685541213762</v>
      </c>
      <c r="I28" s="19" t="n">
        <f aca="false">IF($B28=1,IF(OR(Nur_Zinsen=1,$A28&lt;=Laufzeit_FK),KD_FK_Jahr,0),"")</f>
        <v>591.588743245954</v>
      </c>
      <c r="J28" s="19" t="n">
        <f aca="false">IF($B28=1,H28+I28,"")</f>
        <v>717.274284459716</v>
      </c>
      <c r="K28" s="54" t="n">
        <f aca="false">IF($B28=1,G28-J28,"")</f>
        <v>-204.58613301018</v>
      </c>
      <c r="L28" s="55" t="n">
        <f aca="false">IF($B28=1,K28*1000000/Flaeche/12,"")</f>
        <v>-1.16453855310895</v>
      </c>
      <c r="M28" s="56" t="n">
        <f aca="false">IF($B28=1,K28*1000000/Wohnungen/12,"")</f>
        <v>-71.036851739646</v>
      </c>
      <c r="N28" s="56" t="n">
        <f aca="false">IF($B28=1,N27+K28,"")</f>
        <v>-3978.72743089859</v>
      </c>
      <c r="O28" s="54" t="n">
        <f aca="false">IF($B28=1,G28-I28,"")</f>
        <v>-78.9005917964183</v>
      </c>
      <c r="P28" s="15" t="n">
        <f aca="false">IF($B28=1,IF(Nur_Zinsen=1,Eigenkapital,IF($A28&gt;=Laufzeit_EK,0,IF(Zins_EK=0,Eigenkapital*(1-$A28/Laufzeit_EK),MAX(0,Eigenkapital*(1+Zins_EK)^$A28-KD_EK_Jahr*((1+Zins_EK)^$A28-1)/Zins_EK)))),"")</f>
        <v>2008.80299405402</v>
      </c>
      <c r="Q28" s="15" t="n">
        <f aca="false">IF($B28=1,IF(Nur_Zinsen=1,Fremdkapital,IF($A28&gt;=Laufzeit_FK,0,IF(Zins_FK=0,Fremdkapital*(1-$A28/Laufzeit_FK),MAX(0,Fremdkapital*(1+Zins_FK)^$A28-KD_FK_Jahr*((1+Zins_FK)^$A28-1)/Zins_FK)))),"")</f>
        <v>8504.19780614335</v>
      </c>
      <c r="R28" s="57" t="n">
        <f aca="false">IF($B28=1,1/(1+Diskontsatz)^$A28,"")</f>
        <v>0.390121474344123</v>
      </c>
      <c r="S28" s="54" t="n">
        <f aca="false">IF($B28=1,K28*R28,"")</f>
        <v>-79.8134438402943</v>
      </c>
      <c r="T28" s="18" t="n">
        <f aca="false">IF($B28=1,IF(K28&lt;0,$A28,""),"")</f>
        <v>24</v>
      </c>
    </row>
    <row r="29" customFormat="false" ht="15" hidden="false" customHeight="false" outlineLevel="0" collapsed="false">
      <c r="A29" s="18" t="n">
        <f aca="false">A28+1</f>
        <v>25</v>
      </c>
      <c r="B29" s="18" t="n">
        <f aca="false">IF($A29&lt;=Horizont,1,0)</f>
        <v>1</v>
      </c>
      <c r="C29" s="20" t="n">
        <f aca="false">IF($B29=1,Miete*(1+Mietsteigerung)^($A29-1),"")</f>
        <v>8.8881425397234</v>
      </c>
      <c r="D29" s="20" t="n">
        <f aca="false">IF($B29=1,Bewirtschaftung*(1+Kostensteigerung)^($A29-1),"")</f>
        <v>5.99947094054259</v>
      </c>
      <c r="E29" s="19" t="n">
        <f aca="false">IF($B29=1,C29*Flaeche*12/1000000,"")</f>
        <v>1561.46888137861</v>
      </c>
      <c r="F29" s="19" t="n">
        <f aca="false">IF($B29=1,D29*Flaeche*12/1000000,"")</f>
        <v>1053.98705483452</v>
      </c>
      <c r="G29" s="19" t="n">
        <f aca="false">IF($B29=1,E29-F29,"")</f>
        <v>507.481826544084</v>
      </c>
      <c r="H29" s="19" t="n">
        <f aca="false">IF($B29=1,IF(OR(Nur_Zinsen=1,$A29&lt;=Laufzeit_EK),KD_EK_Jahr,0),"")</f>
        <v>125.685541213762</v>
      </c>
      <c r="I29" s="19" t="n">
        <f aca="false">IF($B29=1,IF(OR(Nur_Zinsen=1,$A29&lt;=Laufzeit_FK),KD_FK_Jahr,0),"")</f>
        <v>591.588743245954</v>
      </c>
      <c r="J29" s="19" t="n">
        <f aca="false">IF($B29=1,H29+I29,"")</f>
        <v>717.274284459716</v>
      </c>
      <c r="K29" s="54" t="n">
        <f aca="false">IF($B29=1,G29-J29,"")</f>
        <v>-209.792457915632</v>
      </c>
      <c r="L29" s="55" t="n">
        <f aca="false">IF($B29=1,K29*1000000/Flaeche/12,"")</f>
        <v>-1.19417382693324</v>
      </c>
      <c r="M29" s="56" t="n">
        <f aca="false">IF($B29=1,K29*1000000/Wohnungen/12,"")</f>
        <v>-72.8446034429276</v>
      </c>
      <c r="N29" s="56" t="n">
        <f aca="false">IF($B29=1,N28+K29,"")</f>
        <v>-4188.51988881422</v>
      </c>
      <c r="O29" s="54" t="n">
        <f aca="false">IF($B29=1,G29-I29,"")</f>
        <v>-84.1069167018694</v>
      </c>
      <c r="P29" s="15" t="n">
        <f aca="false">IF($B29=1,IF(Nur_Zinsen=1,Eigenkapital,IF($A29&gt;=Laufzeit_EK,0,IF(Zins_EK=0,Eigenkapital*(1-$A29/Laufzeit_EK),MAX(0,Eigenkapital*(1+Zins_EK)^$A29-KD_EK_Jahr*((1+Zins_EK)^$A29-1)/Zins_EK)))),"")</f>
        <v>1963.46957260242</v>
      </c>
      <c r="Q29" s="15" t="n">
        <f aca="false">IF($B29=1,IF(Nur_Zinsen=1,Fremdkapital,IF($A29&gt;=Laufzeit_FK,0,IF(Zins_FK=0,Fremdkapital*(1-$A29/Laufzeit_FK),MAX(0,Fremdkapital*(1+Zins_FK)^$A29-KD_FK_Jahr*((1+Zins_FK)^$A29-1)/Zins_FK)))),"")</f>
        <v>8337.81895320456</v>
      </c>
      <c r="R29" s="57" t="n">
        <f aca="false">IF($B29=1,1/(1+Diskontsatz)^$A29,"")</f>
        <v>0.375116802253964</v>
      </c>
      <c r="S29" s="54" t="n">
        <f aca="false">IF($B29=1,K29*R29,"")</f>
        <v>-78.696675950311</v>
      </c>
      <c r="T29" s="18" t="n">
        <f aca="false">IF($B29=1,IF(K29&lt;0,$A29,""),"")</f>
        <v>25</v>
      </c>
    </row>
    <row r="30" customFormat="false" ht="15" hidden="false" customHeight="false" outlineLevel="0" collapsed="false">
      <c r="A30" s="18" t="n">
        <f aca="false">A29+1</f>
        <v>26</v>
      </c>
      <c r="B30" s="18" t="n">
        <f aca="false">IF($A30&lt;=Horizont,1,0)</f>
        <v>1</v>
      </c>
      <c r="C30" s="20" t="n">
        <f aca="false">IF($B30=1,Miete*(1+Mietsteigerung)^($A30-1),"")</f>
        <v>8.97702396512064</v>
      </c>
      <c r="D30" s="20" t="n">
        <f aca="false">IF($B30=1,Bewirtschaftung*(1+Kostensteigerung)^($A30-1),"")</f>
        <v>6.11946035935345</v>
      </c>
      <c r="E30" s="19" t="n">
        <f aca="false">IF($B30=1,C30*Flaeche*12/1000000,"")</f>
        <v>1577.08357019239</v>
      </c>
      <c r="F30" s="19" t="n">
        <f aca="false">IF($B30=1,D30*Flaeche*12/1000000,"")</f>
        <v>1075.06679593121</v>
      </c>
      <c r="G30" s="19" t="n">
        <f aca="false">IF($B30=1,E30-F30,"")</f>
        <v>502.01677426118</v>
      </c>
      <c r="H30" s="19" t="n">
        <f aca="false">IF($B30=1,IF(OR(Nur_Zinsen=1,$A30&lt;=Laufzeit_EK),KD_EK_Jahr,0),"")</f>
        <v>125.685541213762</v>
      </c>
      <c r="I30" s="19" t="n">
        <f aca="false">IF($B30=1,IF(OR(Nur_Zinsen=1,$A30&lt;=Laufzeit_FK),KD_FK_Jahr,0),"")</f>
        <v>591.588743245954</v>
      </c>
      <c r="J30" s="19" t="n">
        <f aca="false">IF($B30=1,H30+I30,"")</f>
        <v>717.274284459716</v>
      </c>
      <c r="K30" s="54" t="n">
        <f aca="false">IF($B30=1,G30-J30,"")</f>
        <v>-215.257510198536</v>
      </c>
      <c r="L30" s="55" t="n">
        <f aca="false">IF($B30=1,K30*1000000/Flaeche/12,"")</f>
        <v>-1.22528182034686</v>
      </c>
      <c r="M30" s="56" t="n">
        <f aca="false">IF($B30=1,K30*1000000/Wohnungen/12,"")</f>
        <v>-74.7421910411582</v>
      </c>
      <c r="N30" s="56" t="n">
        <f aca="false">IF($B30=1,N29+K30,"")</f>
        <v>-4403.77739901276</v>
      </c>
      <c r="O30" s="54" t="n">
        <f aca="false">IF($B30=1,G30-I30,"")</f>
        <v>-89.5719689847734</v>
      </c>
      <c r="P30" s="15" t="n">
        <f aca="false">IF($B30=1,IF(Nur_Zinsen=1,Eigenkapital,IF($A30&gt;=Laufzeit_EK,0,IF(Zins_EK=0,Eigenkapital*(1-$A30/Laufzeit_EK),MAX(0,Eigenkapital*(1+Zins_EK)^$A30-KD_EK_Jahr*((1+Zins_EK)^$A30-1)/Zins_EK)))),"")</f>
        <v>1916.32281429276</v>
      </c>
      <c r="Q30" s="15" t="n">
        <f aca="false">IF($B30=1,IF(Nur_Zinsen=1,Fremdkapital,IF($A30&gt;=Laufzeit_FK,0,IF(Zins_FK=0,Fremdkapital*(1-$A30/Laufzeit_FK),MAX(0,Fremdkapital*(1+Zins_FK)^$A30-KD_FK_Jahr*((1+Zins_FK)^$A30-1)/Zins_FK)))),"")</f>
        <v>8163.12115761883</v>
      </c>
      <c r="R30" s="57" t="n">
        <f aca="false">IF($B30=1,1/(1+Diskontsatz)^$A30,"")</f>
        <v>0.360689232936504</v>
      </c>
      <c r="S30" s="54" t="n">
        <f aca="false">IF($B30=1,K30*R30,"")</f>
        <v>-77.6410662373314</v>
      </c>
      <c r="T30" s="18" t="n">
        <f aca="false">IF($B30=1,IF(K30&lt;0,$A30,""),"")</f>
        <v>26</v>
      </c>
    </row>
    <row r="31" customFormat="false" ht="15" hidden="false" customHeight="false" outlineLevel="0" collapsed="false">
      <c r="A31" s="18" t="n">
        <f aca="false">A30+1</f>
        <v>27</v>
      </c>
      <c r="B31" s="18" t="n">
        <f aca="false">IF($A31&lt;=Horizont,1,0)</f>
        <v>1</v>
      </c>
      <c r="C31" s="20" t="n">
        <f aca="false">IF($B31=1,Miete*(1+Mietsteigerung)^($A31-1),"")</f>
        <v>9.06679420477184</v>
      </c>
      <c r="D31" s="20" t="n">
        <f aca="false">IF($B31=1,Bewirtschaftung*(1+Kostensteigerung)^($A31-1),"")</f>
        <v>6.24184956654051</v>
      </c>
      <c r="E31" s="19" t="n">
        <f aca="false">IF($B31=1,C31*Flaeche*12/1000000,"")</f>
        <v>1592.85440589432</v>
      </c>
      <c r="F31" s="19" t="n">
        <f aca="false">IF($B31=1,D31*Flaeche*12/1000000,"")</f>
        <v>1096.56813184984</v>
      </c>
      <c r="G31" s="19" t="n">
        <f aca="false">IF($B31=1,E31-F31,"")</f>
        <v>496.28627404448</v>
      </c>
      <c r="H31" s="19" t="n">
        <f aca="false">IF($B31=1,IF(OR(Nur_Zinsen=1,$A31&lt;=Laufzeit_EK),KD_EK_Jahr,0),"")</f>
        <v>125.685541213762</v>
      </c>
      <c r="I31" s="19" t="n">
        <f aca="false">IF($B31=1,IF(OR(Nur_Zinsen=1,$A31&lt;=Laufzeit_FK),KD_FK_Jahr,0),"")</f>
        <v>591.588743245954</v>
      </c>
      <c r="J31" s="19" t="n">
        <f aca="false">IF($B31=1,H31+I31,"")</f>
        <v>717.274284459716</v>
      </c>
      <c r="K31" s="54" t="n">
        <f aca="false">IF($B31=1,G31-J31,"")</f>
        <v>-220.988010415236</v>
      </c>
      <c r="L31" s="55" t="n">
        <f aca="false">IF($B31=1,K31*1000000/Flaeche/12,"")</f>
        <v>-1.25790078788272</v>
      </c>
      <c r="M31" s="56" t="n">
        <f aca="false">IF($B31=1,K31*1000000/Wohnungen/12,"")</f>
        <v>-76.7319480608459</v>
      </c>
      <c r="N31" s="56" t="n">
        <f aca="false">IF($B31=1,N30+K31,"")</f>
        <v>-4624.76540942799</v>
      </c>
      <c r="O31" s="54" t="n">
        <f aca="false">IF($B31=1,G31-I31,"")</f>
        <v>-95.3024692014741</v>
      </c>
      <c r="P31" s="15" t="n">
        <f aca="false">IF($B31=1,IF(Nur_Zinsen=1,Eigenkapital,IF($A31&gt;=Laufzeit_EK,0,IF(Zins_EK=0,Eigenkapital*(1-$A31/Laufzeit_EK),MAX(0,Eigenkapital*(1+Zins_EK)^$A31-KD_EK_Jahr*((1+Zins_EK)^$A31-1)/Zins_EK)))),"")</f>
        <v>1867.29018565071</v>
      </c>
      <c r="Q31" s="15" t="n">
        <f aca="false">IF($B31=1,IF(Nur_Zinsen=1,Fremdkapital,IF($A31&gt;=Laufzeit_FK,0,IF(Zins_FK=0,Fremdkapital*(1-$A31/Laufzeit_FK),MAX(0,Fremdkapital*(1+Zins_FK)^$A31-KD_FK_Jahr*((1+Zins_FK)^$A31-1)/Zins_FK)))),"")</f>
        <v>7979.68847225382</v>
      </c>
      <c r="R31" s="57" t="n">
        <f aca="false">IF($B31=1,1/(1+Diskontsatz)^$A31,"")</f>
        <v>0.346816570131254</v>
      </c>
      <c r="S31" s="54" t="n">
        <f aca="false">IF($B31=1,K31*R31,"")</f>
        <v>-76.642303812342</v>
      </c>
      <c r="T31" s="18" t="n">
        <f aca="false">IF($B31=1,IF(K31&lt;0,$A31,""),"")</f>
        <v>27</v>
      </c>
    </row>
    <row r="32" customFormat="false" ht="15" hidden="false" customHeight="false" outlineLevel="0" collapsed="false">
      <c r="A32" s="18" t="n">
        <f aca="false">A31+1</f>
        <v>28</v>
      </c>
      <c r="B32" s="18" t="n">
        <f aca="false">IF($A32&lt;=Horizont,1,0)</f>
        <v>1</v>
      </c>
      <c r="C32" s="20" t="n">
        <f aca="false">IF($B32=1,Miete*(1+Mietsteigerung)^($A32-1),"")</f>
        <v>9.15746214681956</v>
      </c>
      <c r="D32" s="20" t="n">
        <f aca="false">IF($B32=1,Bewirtschaftung*(1+Kostensteigerung)^($A32-1),"")</f>
        <v>6.36668655787133</v>
      </c>
      <c r="E32" s="19" t="n">
        <f aca="false">IF($B32=1,C32*Flaeche*12/1000000,"")</f>
        <v>1608.78294995326</v>
      </c>
      <c r="F32" s="19" t="n">
        <f aca="false">IF($B32=1,D32*Flaeche*12/1000000,"")</f>
        <v>1118.49949448683</v>
      </c>
      <c r="G32" s="19" t="n">
        <f aca="false">IF($B32=1,E32-F32,"")</f>
        <v>490.283455466426</v>
      </c>
      <c r="H32" s="19" t="n">
        <f aca="false">IF($B32=1,IF(OR(Nur_Zinsen=1,$A32&lt;=Laufzeit_EK),KD_EK_Jahr,0),"")</f>
        <v>125.685541213762</v>
      </c>
      <c r="I32" s="19" t="n">
        <f aca="false">IF($B32=1,IF(OR(Nur_Zinsen=1,$A32&lt;=Laufzeit_FK),KD_FK_Jahr,0),"")</f>
        <v>591.588743245954</v>
      </c>
      <c r="J32" s="19" t="n">
        <f aca="false">IF($B32=1,H32+I32,"")</f>
        <v>717.274284459716</v>
      </c>
      <c r="K32" s="54" t="n">
        <f aca="false">IF($B32=1,G32-J32,"")</f>
        <v>-226.99082899329</v>
      </c>
      <c r="L32" s="55" t="n">
        <f aca="false">IF($B32=1,K32*1000000/Flaeche/12,"")</f>
        <v>-1.29206983716581</v>
      </c>
      <c r="M32" s="56" t="n">
        <f aca="false">IF($B32=1,K32*1000000/Wohnungen/12,"")</f>
        <v>-78.8162600671144</v>
      </c>
      <c r="N32" s="56" t="n">
        <f aca="false">IF($B32=1,N31+K32,"")</f>
        <v>-4851.75623842128</v>
      </c>
      <c r="O32" s="54" t="n">
        <f aca="false">IF($B32=1,G32-I32,"")</f>
        <v>-101.305287779527</v>
      </c>
      <c r="P32" s="15" t="n">
        <f aca="false">IF($B32=1,IF(Nur_Zinsen=1,Eigenkapital,IF($A32&gt;=Laufzeit_EK,0,IF(Zins_EK=0,Eigenkapital*(1-$A32/Laufzeit_EK),MAX(0,Eigenkapital*(1+Zins_EK)^$A32-KD_EK_Jahr*((1+Zins_EK)^$A32-1)/Zins_EK)))),"")</f>
        <v>1816.29625186297</v>
      </c>
      <c r="Q32" s="15" t="n">
        <f aca="false">IF($B32=1,IF(Nur_Zinsen=1,Fremdkapital,IF($A32&gt;=Laufzeit_FK,0,IF(Zins_FK=0,Fremdkapital*(1-$A32/Laufzeit_FK),MAX(0,Fremdkapital*(1+Zins_FK)^$A32-KD_FK_Jahr*((1+Zins_FK)^$A32-1)/Zins_FK)))),"")</f>
        <v>7787.08415262056</v>
      </c>
      <c r="R32" s="57" t="n">
        <f aca="false">IF($B32=1,1/(1+Diskontsatz)^$A32,"")</f>
        <v>0.333477471280052</v>
      </c>
      <c r="S32" s="54" t="n">
        <f aca="false">IF($B32=1,K32*R32,"")</f>
        <v>-75.6963276564448</v>
      </c>
      <c r="T32" s="18" t="n">
        <f aca="false">IF($B32=1,IF(K32&lt;0,$A32,""),"")</f>
        <v>28</v>
      </c>
    </row>
    <row r="33" customFormat="false" ht="15" hidden="false" customHeight="false" outlineLevel="0" collapsed="false">
      <c r="A33" s="18" t="n">
        <f aca="false">A32+1</f>
        <v>29</v>
      </c>
      <c r="B33" s="18" t="n">
        <f aca="false">IF($A33&lt;=Horizont,1,0)</f>
        <v>1</v>
      </c>
      <c r="C33" s="20" t="n">
        <f aca="false">IF($B33=1,Miete*(1+Mietsteigerung)^($A33-1),"")</f>
        <v>9.24903676828776</v>
      </c>
      <c r="D33" s="20" t="n">
        <f aca="false">IF($B33=1,Bewirtschaftung*(1+Kostensteigerung)^($A33-1),"")</f>
        <v>6.49402028902875</v>
      </c>
      <c r="E33" s="19" t="n">
        <f aca="false">IF($B33=1,C33*Flaeche*12/1000000,"")</f>
        <v>1624.87077945279</v>
      </c>
      <c r="F33" s="19" t="n">
        <f aca="false">IF($B33=1,D33*Flaeche*12/1000000,"")</f>
        <v>1140.86948437657</v>
      </c>
      <c r="G33" s="19" t="n">
        <f aca="false">IF($B33=1,E33-F33,"")</f>
        <v>484.001295076222</v>
      </c>
      <c r="H33" s="19" t="n">
        <f aca="false">IF($B33=1,IF(OR(Nur_Zinsen=1,$A33&lt;=Laufzeit_EK),KD_EK_Jahr,0),"")</f>
        <v>125.685541213762</v>
      </c>
      <c r="I33" s="19" t="n">
        <f aca="false">IF($B33=1,IF(OR(Nur_Zinsen=1,$A33&lt;=Laufzeit_FK),KD_FK_Jahr,0),"")</f>
        <v>591.588743245954</v>
      </c>
      <c r="J33" s="19" t="n">
        <f aca="false">IF($B33=1,H33+I33,"")</f>
        <v>717.274284459716</v>
      </c>
      <c r="K33" s="54" t="n">
        <f aca="false">IF($B33=1,G33-J33,"")</f>
        <v>-233.272989383494</v>
      </c>
      <c r="L33" s="55" t="n">
        <f aca="false">IF($B33=1,K33*1000000/Flaeche/12,"")</f>
        <v>-1.32782894685504</v>
      </c>
      <c r="M33" s="56" t="n">
        <f aca="false">IF($B33=1,K33*1000000/Wohnungen/12,"")</f>
        <v>-80.9975657581575</v>
      </c>
      <c r="N33" s="56" t="n">
        <f aca="false">IF($B33=1,N32+K33,"")</f>
        <v>-5085.02922780478</v>
      </c>
      <c r="O33" s="54" t="n">
        <f aca="false">IF($B33=1,G33-I33,"")</f>
        <v>-107.587448169732</v>
      </c>
      <c r="P33" s="15" t="n">
        <f aca="false">IF($B33=1,IF(Nur_Zinsen=1,Eigenkapital,IF($A33&gt;=Laufzeit_EK,0,IF(Zins_EK=0,Eigenkapital*(1-$A33/Laufzeit_EK),MAX(0,Eigenkapital*(1+Zins_EK)^$A33-KD_EK_Jahr*((1+Zins_EK)^$A33-1)/Zins_EK)))),"")</f>
        <v>1763.26256072373</v>
      </c>
      <c r="Q33" s="15" t="n">
        <f aca="false">IF($B33=1,IF(Nur_Zinsen=1,Fremdkapital,IF($A33&gt;=Laufzeit_FK,0,IF(Zins_FK=0,Fremdkapital*(1-$A33/Laufzeit_FK),MAX(0,Fremdkapital*(1+Zins_FK)^$A33-KD_FK_Jahr*((1+Zins_FK)^$A33-1)/Zins_FK)))),"")</f>
        <v>7584.84961700563</v>
      </c>
      <c r="R33" s="57" t="n">
        <f aca="false">IF($B33=1,1/(1+Diskontsatz)^$A33,"")</f>
        <v>0.320651414692357</v>
      </c>
      <c r="S33" s="54" t="n">
        <f aca="false">IF($B33=1,K33*R33,"")</f>
        <v>-74.7993140553325</v>
      </c>
      <c r="T33" s="18" t="n">
        <f aca="false">IF($B33=1,IF(K33&lt;0,$A33,""),"")</f>
        <v>29</v>
      </c>
    </row>
    <row r="34" customFormat="false" ht="15" hidden="false" customHeight="false" outlineLevel="0" collapsed="false">
      <c r="A34" s="18" t="n">
        <f aca="false">A33+1</f>
        <v>30</v>
      </c>
      <c r="B34" s="18" t="n">
        <f aca="false">IF($A34&lt;=Horizont,1,0)</f>
        <v>1</v>
      </c>
      <c r="C34" s="20" t="n">
        <f aca="false">IF($B34=1,Miete*(1+Mietsteigerung)^($A34-1),"")</f>
        <v>9.34152713597064</v>
      </c>
      <c r="D34" s="20" t="n">
        <f aca="false">IF($B34=1,Bewirtschaftung*(1+Kostensteigerung)^($A34-1),"")</f>
        <v>6.62390069480933</v>
      </c>
      <c r="E34" s="19" t="n">
        <f aca="false">IF($B34=1,C34*Flaeche*12/1000000,"")</f>
        <v>1641.11948724732</v>
      </c>
      <c r="F34" s="19" t="n">
        <f aca="false">IF($B34=1,D34*Flaeche*12/1000000,"")</f>
        <v>1163.6868740641</v>
      </c>
      <c r="G34" s="19" t="n">
        <f aca="false">IF($B34=1,E34-F34,"")</f>
        <v>477.432613183219</v>
      </c>
      <c r="H34" s="19" t="n">
        <f aca="false">IF($B34=1,IF(OR(Nur_Zinsen=1,$A34&lt;=Laufzeit_EK),KD_EK_Jahr,0),"")</f>
        <v>125.685541213762</v>
      </c>
      <c r="I34" s="19" t="n">
        <f aca="false">IF($B34=1,IF(OR(Nur_Zinsen=1,$A34&lt;=Laufzeit_FK),KD_FK_Jahr,0),"")</f>
        <v>591.588743245954</v>
      </c>
      <c r="J34" s="19" t="n">
        <f aca="false">IF($B34=1,H34+I34,"")</f>
        <v>717.274284459716</v>
      </c>
      <c r="K34" s="54" t="n">
        <f aca="false">IF($B34=1,G34-J34,"")</f>
        <v>-239.841671276497</v>
      </c>
      <c r="L34" s="55" t="n">
        <f aca="false">IF($B34=1,K34*1000000/Flaeche/12,"")</f>
        <v>-1.36521898495274</v>
      </c>
      <c r="M34" s="56" t="n">
        <f aca="false">IF($B34=1,K34*1000000/Wohnungen/12,"")</f>
        <v>-83.278358082117</v>
      </c>
      <c r="N34" s="56" t="n">
        <f aca="false">IF($B34=1,N33+K34,"")</f>
        <v>-5324.87089908127</v>
      </c>
      <c r="O34" s="54" t="n">
        <f aca="false">IF($B34=1,G34-I34,"")</f>
        <v>-114.156130062735</v>
      </c>
      <c r="P34" s="15" t="n">
        <f aca="false">IF($B34=1,IF(Nur_Zinsen=1,Eigenkapital,IF($A34&gt;=Laufzeit_EK,0,IF(Zins_EK=0,Eigenkapital*(1-$A34/Laufzeit_EK),MAX(0,Eigenkapital*(1+Zins_EK)^$A34-KD_EK_Jahr*((1+Zins_EK)^$A34-1)/Zins_EK)))),"")</f>
        <v>1708.10752193892</v>
      </c>
      <c r="Q34" s="15" t="n">
        <f aca="false">IF($B34=1,IF(Nur_Zinsen=1,Fremdkapital,IF($A34&gt;=Laufzeit_FK,0,IF(Zins_FK=0,Fremdkapital*(1-$A34/Laufzeit_FK),MAX(0,Fremdkapital*(1+Zins_FK)^$A34-KD_FK_Jahr*((1+Zins_FK)^$A34-1)/Zins_FK)))),"")</f>
        <v>7372.50335460997</v>
      </c>
      <c r="R34" s="57" t="n">
        <f aca="false">IF($B34=1,1/(1+Diskontsatz)^$A34,"")</f>
        <v>0.30831866797342</v>
      </c>
      <c r="S34" s="54" t="n">
        <f aca="false">IF($B34=1,K34*R34,"")</f>
        <v>-73.9476646124885</v>
      </c>
      <c r="T34" s="18" t="n">
        <f aca="false">IF($B34=1,IF(K34&lt;0,$A34,""),"")</f>
        <v>30</v>
      </c>
    </row>
    <row r="35" customFormat="false" ht="15" hidden="false" customHeight="false" outlineLevel="0" collapsed="false">
      <c r="A35" s="18" t="n">
        <f aca="false">A34+1</f>
        <v>31</v>
      </c>
      <c r="B35" s="18" t="n">
        <f aca="false">IF($A35&lt;=Horizont,1,0)</f>
        <v>1</v>
      </c>
      <c r="C35" s="20" t="n">
        <f aca="false">IF($B35=1,Miete*(1+Mietsteigerung)^($A35-1),"")</f>
        <v>9.43494240733034</v>
      </c>
      <c r="D35" s="20" t="n">
        <f aca="false">IF($B35=1,Bewirtschaftung*(1+Kostensteigerung)^($A35-1),"")</f>
        <v>6.75637870870551</v>
      </c>
      <c r="E35" s="19" t="n">
        <f aca="false">IF($B35=1,C35*Flaeche*12/1000000,"")</f>
        <v>1657.53068211979</v>
      </c>
      <c r="F35" s="19" t="n">
        <f aca="false">IF($B35=1,D35*Flaeche*12/1000000,"")</f>
        <v>1186.96061154538</v>
      </c>
      <c r="G35" s="19" t="n">
        <f aca="false">IF($B35=1,E35-F35,"")</f>
        <v>470.57007057441</v>
      </c>
      <c r="H35" s="19" t="n">
        <f aca="false">IF($B35=1,IF(OR(Nur_Zinsen=1,$A35&lt;=Laufzeit_EK),KD_EK_Jahr,0),"")</f>
        <v>125.685541213762</v>
      </c>
      <c r="I35" s="19" t="n">
        <f aca="false">IF($B35=1,IF(OR(Nur_Zinsen=1,$A35&lt;=Laufzeit_FK),KD_FK_Jahr,0),"")</f>
        <v>591.588743245954</v>
      </c>
      <c r="J35" s="19" t="n">
        <f aca="false">IF($B35=1,H35+I35,"")</f>
        <v>717.274284459716</v>
      </c>
      <c r="K35" s="54" t="n">
        <f aca="false">IF($B35=1,G35-J35,"")</f>
        <v>-246.704213885306</v>
      </c>
      <c r="L35" s="55" t="n">
        <f aca="false">IF($B35=1,K35*1000000/Flaeche/12,"")</f>
        <v>-1.40428172748922</v>
      </c>
      <c r="M35" s="56" t="n">
        <f aca="false">IF($B35=1,K35*1000000/Wohnungen/12,"")</f>
        <v>-85.6611853768423</v>
      </c>
      <c r="N35" s="56" t="n">
        <f aca="false">IF($B35=1,N34+K35,"")</f>
        <v>-5571.57511296658</v>
      </c>
      <c r="O35" s="54" t="n">
        <f aca="false">IF($B35=1,G35-I35,"")</f>
        <v>-121.018672671544</v>
      </c>
      <c r="P35" s="15" t="n">
        <f aca="false">IF($B35=1,IF(Nur_Zinsen=1,Eigenkapital,IF($A35&gt;=Laufzeit_EK,0,IF(Zins_EK=0,Eigenkapital*(1-$A35/Laufzeit_EK),MAX(0,Eigenkapital*(1+Zins_EK)^$A35-KD_EK_Jahr*((1+Zins_EK)^$A35-1)/Zins_EK)))),"")</f>
        <v>1650.74628160271</v>
      </c>
      <c r="Q35" s="15" t="n">
        <f aca="false">IF($B35=1,IF(Nur_Zinsen=1,Fremdkapital,IF($A35&gt;=Laufzeit_FK,0,IF(Zins_FK=0,Fremdkapital*(1-$A35/Laufzeit_FK),MAX(0,Fremdkapital*(1+Zins_FK)^$A35-KD_FK_Jahr*((1+Zins_FK)^$A35-1)/Zins_FK)))),"")</f>
        <v>7149.53977909451</v>
      </c>
      <c r="R35" s="57" t="n">
        <f aca="false">IF($B35=1,1/(1+Diskontsatz)^$A35,"")</f>
        <v>0.29646025766675</v>
      </c>
      <c r="S35" s="54" t="n">
        <f aca="false">IF($B35=1,K35*R35,"")</f>
        <v>-73.1379948159108</v>
      </c>
      <c r="T35" s="18" t="n">
        <f aca="false">IF($B35=1,IF(K35&lt;0,$A35,""),"")</f>
        <v>31</v>
      </c>
    </row>
    <row r="36" customFormat="false" ht="15" hidden="false" customHeight="false" outlineLevel="0" collapsed="false">
      <c r="A36" s="18" t="n">
        <f aca="false">A35+1</f>
        <v>32</v>
      </c>
      <c r="B36" s="18" t="n">
        <f aca="false">IF($A36&lt;=Horizont,1,0)</f>
        <v>1</v>
      </c>
      <c r="C36" s="20" t="n">
        <f aca="false">IF($B36=1,Miete*(1+Mietsteigerung)^($A36-1),"")</f>
        <v>9.52929183140365</v>
      </c>
      <c r="D36" s="20" t="n">
        <f aca="false">IF($B36=1,Bewirtschaftung*(1+Kostensteigerung)^($A36-1),"")</f>
        <v>6.89150628287962</v>
      </c>
      <c r="E36" s="19" t="n">
        <f aca="false">IF($B36=1,C36*Flaeche*12/1000000,"")</f>
        <v>1674.10598894099</v>
      </c>
      <c r="F36" s="19" t="n">
        <f aca="false">IF($B36=1,D36*Flaeche*12/1000000,"")</f>
        <v>1210.69982377629</v>
      </c>
      <c r="G36" s="19" t="n">
        <f aca="false">IF($B36=1,E36-F36,"")</f>
        <v>463.4061651647</v>
      </c>
      <c r="H36" s="19" t="n">
        <f aca="false">IF($B36=1,IF(OR(Nur_Zinsen=1,$A36&lt;=Laufzeit_EK),KD_EK_Jahr,0),"")</f>
        <v>125.685541213762</v>
      </c>
      <c r="I36" s="19" t="n">
        <f aca="false">IF($B36=1,IF(OR(Nur_Zinsen=1,$A36&lt;=Laufzeit_FK),KD_FK_Jahr,0),"")</f>
        <v>591.588743245954</v>
      </c>
      <c r="J36" s="19" t="n">
        <f aca="false">IF($B36=1,H36+I36,"")</f>
        <v>717.274284459716</v>
      </c>
      <c r="K36" s="54" t="n">
        <f aca="false">IF($B36=1,G36-J36,"")</f>
        <v>-253.868119295016</v>
      </c>
      <c r="L36" s="55" t="n">
        <f aca="false">IF($B36=1,K36*1000000/Flaeche/12,"")</f>
        <v>-1.44505987759003</v>
      </c>
      <c r="M36" s="56" t="n">
        <f aca="false">IF($B36=1,K36*1000000/Wohnungen/12,"")</f>
        <v>-88.1486525329917</v>
      </c>
      <c r="N36" s="56" t="n">
        <f aca="false">IF($B36=1,N35+K36,"")</f>
        <v>-5825.44323226159</v>
      </c>
      <c r="O36" s="54" t="n">
        <f aca="false">IF($B36=1,G36-I36,"")</f>
        <v>-128.182578081254</v>
      </c>
      <c r="P36" s="15" t="n">
        <f aca="false">IF($B36=1,IF(Nur_Zinsen=1,Eigenkapital,IF($A36&gt;=Laufzeit_EK,0,IF(Zins_EK=0,Eigenkapital*(1-$A36/Laufzeit_EK),MAX(0,Eigenkapital*(1+Zins_EK)^$A36-KD_EK_Jahr*((1+Zins_EK)^$A36-1)/Zins_EK)))),"")</f>
        <v>1591.09059165306</v>
      </c>
      <c r="Q36" s="15" t="n">
        <f aca="false">IF($B36=1,IF(Nur_Zinsen=1,Fremdkapital,IF($A36&gt;=Laufzeit_FK,0,IF(Zins_FK=0,Fremdkapital*(1-$A36/Laufzeit_FK),MAX(0,Fremdkapital*(1+Zins_FK)^$A36-KD_FK_Jahr*((1+Zins_FK)^$A36-1)/Zins_FK)))),"")</f>
        <v>6915.42802480327</v>
      </c>
      <c r="R36" s="57" t="n">
        <f aca="false">IF($B36=1,1/(1+Diskontsatz)^$A36,"")</f>
        <v>0.285057940064183</v>
      </c>
      <c r="S36" s="54" t="n">
        <f aca="false">IF($B36=1,K36*R36,"")</f>
        <v>-72.3671231342055</v>
      </c>
      <c r="T36" s="18" t="n">
        <f aca="false">IF($B36=1,IF(K36&lt;0,$A36,""),"")</f>
        <v>32</v>
      </c>
    </row>
    <row r="37" customFormat="false" ht="15" hidden="false" customHeight="false" outlineLevel="0" collapsed="false">
      <c r="A37" s="18" t="n">
        <f aca="false">A36+1</f>
        <v>33</v>
      </c>
      <c r="B37" s="18" t="n">
        <f aca="false">IF($A37&lt;=Horizont,1,0)</f>
        <v>1</v>
      </c>
      <c r="C37" s="20" t="n">
        <f aca="false">IF($B37=1,Miete*(1+Mietsteigerung)^($A37-1),"")</f>
        <v>9.62458474971768</v>
      </c>
      <c r="D37" s="20" t="n">
        <f aca="false">IF($B37=1,Bewirtschaftung*(1+Kostensteigerung)^($A37-1),"")</f>
        <v>7.02933640853722</v>
      </c>
      <c r="E37" s="19" t="n">
        <f aca="false">IF($B37=1,C37*Flaeche*12/1000000,"")</f>
        <v>1690.8470488304</v>
      </c>
      <c r="F37" s="19" t="n">
        <f aca="false">IF($B37=1,D37*Flaeche*12/1000000,"")</f>
        <v>1234.91382025182</v>
      </c>
      <c r="G37" s="19" t="n">
        <f aca="false">IF($B37=1,E37-F37,"")</f>
        <v>455.933228578585</v>
      </c>
      <c r="H37" s="19" t="n">
        <f aca="false">IF($B37=1,IF(OR(Nur_Zinsen=1,$A37&lt;=Laufzeit_EK),KD_EK_Jahr,0),"")</f>
        <v>125.685541213762</v>
      </c>
      <c r="I37" s="19" t="n">
        <f aca="false">IF($B37=1,IF(OR(Nur_Zinsen=1,$A37&lt;=Laufzeit_FK),KD_FK_Jahr,0),"")</f>
        <v>591.588743245954</v>
      </c>
      <c r="J37" s="19" t="n">
        <f aca="false">IF($B37=1,H37+I37,"")</f>
        <v>717.274284459716</v>
      </c>
      <c r="K37" s="54" t="n">
        <f aca="false">IF($B37=1,G37-J37,"")</f>
        <v>-261.341055881132</v>
      </c>
      <c r="L37" s="55" t="n">
        <f aca="false">IF($B37=1,K37*1000000/Flaeche/12,"")</f>
        <v>-1.48759708493358</v>
      </c>
      <c r="M37" s="56" t="n">
        <f aca="false">IF($B37=1,K37*1000000/Wohnungen/12,"")</f>
        <v>-90.7434221809485</v>
      </c>
      <c r="N37" s="56" t="n">
        <f aca="false">IF($B37=1,N36+K37,"")</f>
        <v>-6086.78428814273</v>
      </c>
      <c r="O37" s="54" t="n">
        <f aca="false">IF($B37=1,G37-I37,"")</f>
        <v>-135.655514667369</v>
      </c>
      <c r="P37" s="15" t="n">
        <f aca="false">IF($B37=1,IF(Nur_Zinsen=1,Eigenkapital,IF($A37&gt;=Laufzeit_EK,0,IF(Zins_EK=0,Eigenkapital*(1-$A37/Laufzeit_EK),MAX(0,Eigenkapital*(1+Zins_EK)^$A37-KD_EK_Jahr*((1+Zins_EK)^$A37-1)/Zins_EK)))),"")</f>
        <v>1529.04867410542</v>
      </c>
      <c r="Q37" s="15" t="n">
        <f aca="false">IF($B37=1,IF(Nur_Zinsen=1,Fremdkapital,IF($A37&gt;=Laufzeit_FK,0,IF(Zins_FK=0,Fremdkapital*(1-$A37/Laufzeit_FK),MAX(0,Fremdkapital*(1+Zins_FK)^$A37-KD_FK_Jahr*((1+Zins_FK)^$A37-1)/Zins_FK)))),"")</f>
        <v>6669.61068279749</v>
      </c>
      <c r="R37" s="57" t="n">
        <f aca="false">IF($B37=1,1/(1+Diskontsatz)^$A37,"")</f>
        <v>0.274094173138638</v>
      </c>
      <c r="S37" s="54" t="n">
        <f aca="false">IF($B37=1,K37*R37,"")</f>
        <v>-71.6320606189172</v>
      </c>
      <c r="T37" s="18" t="n">
        <f aca="false">IF($B37=1,IF(K37&lt;0,$A37,""),"")</f>
        <v>33</v>
      </c>
    </row>
    <row r="38" customFormat="false" ht="15" hidden="false" customHeight="false" outlineLevel="0" collapsed="false">
      <c r="A38" s="18" t="n">
        <f aca="false">A37+1</f>
        <v>34</v>
      </c>
      <c r="B38" s="18" t="n">
        <f aca="false">IF($A38&lt;=Horizont,1,0)</f>
        <v>1</v>
      </c>
      <c r="C38" s="20" t="n">
        <f aca="false">IF($B38=1,Miete*(1+Mietsteigerung)^($A38-1),"")</f>
        <v>9.72083059721486</v>
      </c>
      <c r="D38" s="20" t="n">
        <f aca="false">IF($B38=1,Bewirtschaftung*(1+Kostensteigerung)^($A38-1),"")</f>
        <v>7.16992313670796</v>
      </c>
      <c r="E38" s="19" t="n">
        <f aca="false">IF($B38=1,C38*Flaeche*12/1000000,"")</f>
        <v>1707.75551931871</v>
      </c>
      <c r="F38" s="19" t="n">
        <f aca="false">IF($B38=1,D38*Flaeche*12/1000000,"")</f>
        <v>1259.61209665685</v>
      </c>
      <c r="G38" s="19" t="n">
        <f aca="false">IF($B38=1,E38-F38,"")</f>
        <v>448.143422661852</v>
      </c>
      <c r="H38" s="19" t="n">
        <f aca="false">IF($B38=1,IF(OR(Nur_Zinsen=1,$A38&lt;=Laufzeit_EK),KD_EK_Jahr,0),"")</f>
        <v>125.685541213762</v>
      </c>
      <c r="I38" s="19" t="n">
        <f aca="false">IF($B38=1,IF(OR(Nur_Zinsen=1,$A38&lt;=Laufzeit_FK),KD_FK_Jahr,0),"")</f>
        <v>591.588743245954</v>
      </c>
      <c r="J38" s="19" t="n">
        <f aca="false">IF($B38=1,H38+I38,"")</f>
        <v>717.274284459716</v>
      </c>
      <c r="K38" s="54" t="n">
        <f aca="false">IF($B38=1,G38-J38,"")</f>
        <v>-269.130861797864</v>
      </c>
      <c r="L38" s="55" t="n">
        <f aca="false">IF($B38=1,K38*1000000/Flaeche/12,"")</f>
        <v>-1.53193796560715</v>
      </c>
      <c r="M38" s="56" t="n">
        <f aca="false">IF($B38=1,K38*1000000/Wohnungen/12,"")</f>
        <v>-93.4482159020361</v>
      </c>
      <c r="N38" s="56" t="n">
        <f aca="false">IF($B38=1,N37+K38,"")</f>
        <v>-6355.91514994059</v>
      </c>
      <c r="O38" s="54" t="n">
        <f aca="false">IF($B38=1,G38-I38,"")</f>
        <v>-143.445320584102</v>
      </c>
      <c r="P38" s="15" t="n">
        <f aca="false">IF($B38=1,IF(Nur_Zinsen=1,Eigenkapital,IF($A38&gt;=Laufzeit_EK,0,IF(Zins_EK=0,Eigenkapital*(1-$A38/Laufzeit_EK),MAX(0,Eigenkapital*(1+Zins_EK)^$A38-KD_EK_Jahr*((1+Zins_EK)^$A38-1)/Zins_EK)))),"")</f>
        <v>1464.52507985587</v>
      </c>
      <c r="Q38" s="15" t="n">
        <f aca="false">IF($B38=1,IF(Nur_Zinsen=1,Fremdkapital,IF($A38&gt;=Laufzeit_FK,0,IF(Zins_FK=0,Fremdkapital*(1-$A38/Laufzeit_FK),MAX(0,Fremdkapital*(1+Zins_FK)^$A38-KD_FK_Jahr*((1+Zins_FK)^$A38-1)/Zins_FK)))),"")</f>
        <v>6411.50247369141</v>
      </c>
      <c r="R38" s="57" t="n">
        <f aca="false">IF($B38=1,1/(1+Diskontsatz)^$A38,"")</f>
        <v>0.263552089556382</v>
      </c>
      <c r="S38" s="54" t="n">
        <f aca="false">IF($B38=1,K38*R38,"")</f>
        <v>-70.930000990937</v>
      </c>
      <c r="T38" s="18" t="n">
        <f aca="false">IF($B38=1,IF(K38&lt;0,$A38,""),"")</f>
        <v>34</v>
      </c>
    </row>
    <row r="39" customFormat="false" ht="15" hidden="false" customHeight="false" outlineLevel="0" collapsed="false">
      <c r="A39" s="18" t="n">
        <f aca="false">A38+1</f>
        <v>35</v>
      </c>
      <c r="B39" s="18" t="n">
        <f aca="false">IF($A39&lt;=Horizont,1,0)</f>
        <v>1</v>
      </c>
      <c r="C39" s="20" t="n">
        <f aca="false">IF($B39=1,Miete*(1+Mietsteigerung)^($A39-1),"")</f>
        <v>9.81803890318701</v>
      </c>
      <c r="D39" s="20" t="n">
        <f aca="false">IF($B39=1,Bewirtschaftung*(1+Kostensteigerung)^($A39-1),"")</f>
        <v>7.31332159944212</v>
      </c>
      <c r="E39" s="19" t="n">
        <f aca="false">IF($B39=1,C39*Flaeche*12/1000000,"")</f>
        <v>1724.83307451189</v>
      </c>
      <c r="F39" s="19" t="n">
        <f aca="false">IF($B39=1,D39*Flaeche*12/1000000,"")</f>
        <v>1284.80433858999</v>
      </c>
      <c r="G39" s="19" t="n">
        <f aca="false">IF($B39=1,E39-F39,"")</f>
        <v>440.028735921902</v>
      </c>
      <c r="H39" s="19" t="n">
        <f aca="false">IF($B39=1,IF(OR(Nur_Zinsen=1,$A39&lt;=Laufzeit_EK),KD_EK_Jahr,0),"")</f>
        <v>125.685541213762</v>
      </c>
      <c r="I39" s="19" t="n">
        <f aca="false">IF($B39=1,IF(OR(Nur_Zinsen=1,$A39&lt;=Laufzeit_FK),KD_FK_Jahr,0),"")</f>
        <v>591.588743245954</v>
      </c>
      <c r="J39" s="19" t="n">
        <f aca="false">IF($B39=1,H39+I39,"")</f>
        <v>717.274284459716</v>
      </c>
      <c r="K39" s="54" t="n">
        <f aca="false">IF($B39=1,G39-J39,"")</f>
        <v>-277.245548537814</v>
      </c>
      <c r="L39" s="55" t="n">
        <f aca="false">IF($B39=1,K39*1000000/Flaeche/12,"")</f>
        <v>-1.57812812236916</v>
      </c>
      <c r="M39" s="56" t="n">
        <f aca="false">IF($B39=1,K39*1000000/Wohnungen/12,"")</f>
        <v>-96.2658154645188</v>
      </c>
      <c r="N39" s="56" t="n">
        <f aca="false">IF($B39=1,N38+K39,"")</f>
        <v>-6633.1606984784</v>
      </c>
      <c r="O39" s="54" t="n">
        <f aca="false">IF($B39=1,G39-I39,"")</f>
        <v>-151.560007324052</v>
      </c>
      <c r="P39" s="15" t="n">
        <f aca="false">IF($B39=1,IF(Nur_Zinsen=1,Eigenkapital,IF($A39&gt;=Laufzeit_EK,0,IF(Zins_EK=0,Eigenkapital*(1-$A39/Laufzeit_EK),MAX(0,Eigenkapital*(1+Zins_EK)^$A39-KD_EK_Jahr*((1+Zins_EK)^$A39-1)/Zins_EK)))),"")</f>
        <v>1397.42054183634</v>
      </c>
      <c r="Q39" s="15" t="n">
        <f aca="false">IF($B39=1,IF(Nur_Zinsen=1,Fremdkapital,IF($A39&gt;=Laufzeit_FK,0,IF(Zins_FK=0,Fremdkapital*(1-$A39/Laufzeit_FK),MAX(0,Fremdkapital*(1+Zins_FK)^$A39-KD_FK_Jahr*((1+Zins_FK)^$A39-1)/Zins_FK)))),"")</f>
        <v>6140.48885413002</v>
      </c>
      <c r="R39" s="57" t="n">
        <f aca="false">IF($B39=1,1/(1+Diskontsatz)^$A39,"")</f>
        <v>0.253415470727291</v>
      </c>
      <c r="S39" s="54" t="n">
        <f aca="false">IF($B39=1,K39*R39,"")</f>
        <v>-70.2583111897561</v>
      </c>
      <c r="T39" s="18" t="n">
        <f aca="false">IF($B39=1,IF(K39&lt;0,$A39,""),"")</f>
        <v>35</v>
      </c>
    </row>
    <row r="40" customFormat="false" ht="15" hidden="false" customHeight="false" outlineLevel="0" collapsed="false">
      <c r="A40" s="18" t="n">
        <f aca="false">A39+1</f>
        <v>36</v>
      </c>
      <c r="B40" s="18" t="n">
        <f aca="false">IF($A40&lt;=Horizont,1,0)</f>
        <v>1</v>
      </c>
      <c r="C40" s="20" t="n">
        <f aca="false">IF($B40=1,Miete*(1+Mietsteigerung)^($A40-1),"")</f>
        <v>9.91621929221888</v>
      </c>
      <c r="D40" s="20" t="n">
        <f aca="false">IF($B40=1,Bewirtschaftung*(1+Kostensteigerung)^($A40-1),"")</f>
        <v>7.45958803143096</v>
      </c>
      <c r="E40" s="19" t="n">
        <f aca="false">IF($B40=1,C40*Flaeche*12/1000000,"")</f>
        <v>1742.08140525701</v>
      </c>
      <c r="F40" s="19" t="n">
        <f aca="false">IF($B40=1,D40*Flaeche*12/1000000,"")</f>
        <v>1310.50042536179</v>
      </c>
      <c r="G40" s="19" t="n">
        <f aca="false">IF($B40=1,E40-F40,"")</f>
        <v>431.580979895221</v>
      </c>
      <c r="H40" s="19" t="n">
        <f aca="false">IF($B40=1,IF(OR(Nur_Zinsen=1,$A40&lt;=Laufzeit_EK),KD_EK_Jahr,0),"")</f>
        <v>125.685541213762</v>
      </c>
      <c r="I40" s="19" t="n">
        <f aca="false">IF($B40=1,IF(OR(Nur_Zinsen=1,$A40&lt;=Laufzeit_FK),KD_FK_Jahr,0),"")</f>
        <v>591.588743245954</v>
      </c>
      <c r="J40" s="19" t="n">
        <f aca="false">IF($B40=1,H40+I40,"")</f>
        <v>717.274284459716</v>
      </c>
      <c r="K40" s="54" t="n">
        <f aca="false">IF($B40=1,G40-J40,"")</f>
        <v>-285.693304564495</v>
      </c>
      <c r="L40" s="55" t="n">
        <f aca="false">IF($B40=1,K40*1000000/Flaeche/12,"")</f>
        <v>-1.62621416532613</v>
      </c>
      <c r="M40" s="56" t="n">
        <f aca="false">IF($B40=1,K40*1000000/Wohnungen/12,"")</f>
        <v>-99.1990640848942</v>
      </c>
      <c r="N40" s="56" t="n">
        <f aca="false">IF($B40=1,N39+K40,"")</f>
        <v>-6918.8540030429</v>
      </c>
      <c r="O40" s="54" t="n">
        <f aca="false">IF($B40=1,G40-I40,"")</f>
        <v>-160.007763350733</v>
      </c>
      <c r="P40" s="15" t="n">
        <f aca="false">IF($B40=1,IF(Nur_Zinsen=1,Eigenkapital,IF($A40&gt;=Laufzeit_EK,0,IF(Zins_EK=0,Eigenkapital*(1-$A40/Laufzeit_EK),MAX(0,Eigenkapital*(1+Zins_EK)^$A40-KD_EK_Jahr*((1+Zins_EK)^$A40-1)/Zins_EK)))),"")</f>
        <v>1327.63182229603</v>
      </c>
      <c r="Q40" s="15" t="n">
        <f aca="false">IF($B40=1,IF(Nur_Zinsen=1,Fremdkapital,IF($A40&gt;=Laufzeit_FK,0,IF(Zins_FK=0,Fremdkapital*(1-$A40/Laufzeit_FK),MAX(0,Fremdkapital*(1+Zins_FK)^$A40-KD_FK_Jahr*((1+Zins_FK)^$A40-1)/Zins_FK)))),"")</f>
        <v>5855.92455359057</v>
      </c>
      <c r="R40" s="57" t="n">
        <f aca="false">IF($B40=1,1/(1+Diskontsatz)^$A40,"")</f>
        <v>0.243668721853164</v>
      </c>
      <c r="S40" s="54" t="n">
        <f aca="false">IF($B40=1,K40*R40,"")</f>
        <v>-69.6145223652373</v>
      </c>
      <c r="T40" s="18" t="n">
        <f aca="false">IF($B40=1,IF(K40&lt;0,$A40,""),"")</f>
        <v>36</v>
      </c>
    </row>
    <row r="41" customFormat="false" ht="15" hidden="false" customHeight="false" outlineLevel="0" collapsed="false">
      <c r="A41" s="18" t="n">
        <f aca="false">A40+1</f>
        <v>37</v>
      </c>
      <c r="B41" s="18" t="n">
        <f aca="false">IF($A41&lt;=Horizont,1,0)</f>
        <v>1</v>
      </c>
      <c r="C41" s="20" t="n">
        <f aca="false">IF($B41=1,Miete*(1+Mietsteigerung)^($A41-1),"")</f>
        <v>10.0153814851411</v>
      </c>
      <c r="D41" s="20" t="n">
        <f aca="false">IF($B41=1,Bewirtschaftung*(1+Kostensteigerung)^($A41-1),"")</f>
        <v>7.60877979205958</v>
      </c>
      <c r="E41" s="19" t="n">
        <f aca="false">IF($B41=1,C41*Flaeche*12/1000000,"")</f>
        <v>1759.50221930958</v>
      </c>
      <c r="F41" s="19" t="n">
        <f aca="false">IF($B41=1,D41*Flaeche*12/1000000,"")</f>
        <v>1336.71043386903</v>
      </c>
      <c r="G41" s="19" t="n">
        <f aca="false">IF($B41=1,E41-F41,"")</f>
        <v>422.791785440556</v>
      </c>
      <c r="H41" s="19" t="n">
        <f aca="false">IF($B41=1,IF(OR(Nur_Zinsen=1,$A41&lt;=Laufzeit_EK),KD_EK_Jahr,0),"")</f>
        <v>125.685541213762</v>
      </c>
      <c r="I41" s="19" t="n">
        <f aca="false">IF($B41=1,IF(OR(Nur_Zinsen=1,$A41&lt;=Laufzeit_FK),KD_FK_Jahr,0),"")</f>
        <v>591.588743245954</v>
      </c>
      <c r="J41" s="19" t="n">
        <f aca="false">IF($B41=1,H41+I41,"")</f>
        <v>717.274284459716</v>
      </c>
      <c r="K41" s="54" t="n">
        <f aca="false">IF($B41=1,G41-J41,"")</f>
        <v>-294.482499019161</v>
      </c>
      <c r="L41" s="55" t="n">
        <f aca="false">IF($B41=1,K41*1000000/Flaeche/12,"")</f>
        <v>-1.67624373303256</v>
      </c>
      <c r="M41" s="56" t="n">
        <f aca="false">IF($B41=1,K41*1000000/Wohnungen/12,"")</f>
        <v>-102.250867714986</v>
      </c>
      <c r="N41" s="56" t="n">
        <f aca="false">IF($B41=1,N40+K41,"")</f>
        <v>-7213.33650206206</v>
      </c>
      <c r="O41" s="54" t="n">
        <f aca="false">IF($B41=1,G41-I41,"")</f>
        <v>-168.796957805398</v>
      </c>
      <c r="P41" s="15" t="n">
        <f aca="false">IF($B41=1,IF(Nur_Zinsen=1,Eigenkapital,IF($A41&gt;=Laufzeit_EK,0,IF(Zins_EK=0,Eigenkapital*(1-$A41/Laufzeit_EK),MAX(0,Eigenkapital*(1+Zins_EK)^$A41-KD_EK_Jahr*((1+Zins_EK)^$A41-1)/Zins_EK)))),"")</f>
        <v>1255.05155397411</v>
      </c>
      <c r="Q41" s="15" t="n">
        <f aca="false">IF($B41=1,IF(Nur_Zinsen=1,Fremdkapital,IF($A41&gt;=Laufzeit_FK,0,IF(Zins_FK=0,Fremdkapital*(1-$A41/Laufzeit_FK),MAX(0,Fremdkapital*(1+Zins_FK)^$A41-KD_FK_Jahr*((1+Zins_FK)^$A41-1)/Zins_FK)))),"")</f>
        <v>5557.13203802415</v>
      </c>
      <c r="R41" s="57" t="n">
        <f aca="false">IF($B41=1,1/(1+Diskontsatz)^$A41,"")</f>
        <v>0.234296847935735</v>
      </c>
      <c r="S41" s="54" t="n">
        <f aca="false">IF($B41=1,K41*R41,"")</f>
        <v>-68.9963212924274</v>
      </c>
      <c r="T41" s="18" t="n">
        <f aca="false">IF($B41=1,IF(K41&lt;0,$A41,""),"")</f>
        <v>37</v>
      </c>
    </row>
    <row r="42" customFormat="false" ht="15" hidden="false" customHeight="false" outlineLevel="0" collapsed="false">
      <c r="A42" s="18" t="n">
        <f aca="false">A41+1</f>
        <v>38</v>
      </c>
      <c r="B42" s="18" t="n">
        <f aca="false">IF($A42&lt;=Horizont,1,0)</f>
        <v>1</v>
      </c>
      <c r="C42" s="20" t="n">
        <f aca="false">IF($B42=1,Miete*(1+Mietsteigerung)^($A42-1),"")</f>
        <v>10.1155352999925</v>
      </c>
      <c r="D42" s="20" t="n">
        <f aca="false">IF($B42=1,Bewirtschaftung*(1+Kostensteigerung)^($A42-1),"")</f>
        <v>7.76095538790077</v>
      </c>
      <c r="E42" s="19" t="n">
        <f aca="false">IF($B42=1,C42*Flaeche*12/1000000,"")</f>
        <v>1777.09724150268</v>
      </c>
      <c r="F42" s="19" t="n">
        <f aca="false">IF($B42=1,D42*Flaeche*12/1000000,"")</f>
        <v>1363.44464254641</v>
      </c>
      <c r="G42" s="19" t="n">
        <f aca="false">IF($B42=1,E42-F42,"")</f>
        <v>413.65259895627</v>
      </c>
      <c r="H42" s="19" t="n">
        <f aca="false">IF($B42=1,IF(OR(Nur_Zinsen=1,$A42&lt;=Laufzeit_EK),KD_EK_Jahr,0),"")</f>
        <v>125.685541213762</v>
      </c>
      <c r="I42" s="19" t="n">
        <f aca="false">IF($B42=1,IF(OR(Nur_Zinsen=1,$A42&lt;=Laufzeit_FK),KD_FK_Jahr,0),"")</f>
        <v>591.588743245954</v>
      </c>
      <c r="J42" s="19" t="n">
        <f aca="false">IF($B42=1,H42+I42,"")</f>
        <v>717.274284459716</v>
      </c>
      <c r="K42" s="54" t="n">
        <f aca="false">IF($B42=1,G42-J42,"")</f>
        <v>-303.621685503446</v>
      </c>
      <c r="L42" s="55" t="n">
        <f aca="false">IF($B42=1,K42*1000000/Flaeche/12,"")</f>
        <v>-1.72826551402235</v>
      </c>
      <c r="M42" s="56" t="n">
        <f aca="false">IF($B42=1,K42*1000000/Wohnungen/12,"")</f>
        <v>-105.424196355363</v>
      </c>
      <c r="N42" s="56" t="n">
        <f aca="false">IF($B42=1,N41+K42,"")</f>
        <v>-7516.95818756551</v>
      </c>
      <c r="O42" s="54" t="n">
        <f aca="false">IF($B42=1,G42-I42,"")</f>
        <v>-177.936144289684</v>
      </c>
      <c r="P42" s="15" t="n">
        <f aca="false">IF($B42=1,IF(Nur_Zinsen=1,Eigenkapital,IF($A42&gt;=Laufzeit_EK,0,IF(Zins_EK=0,Eigenkapital*(1-$A42/Laufzeit_EK),MAX(0,Eigenkapital*(1+Zins_EK)^$A42-KD_EK_Jahr*((1+Zins_EK)^$A42-1)/Zins_EK)))),"")</f>
        <v>1179.56807491932</v>
      </c>
      <c r="Q42" s="15" t="n">
        <f aca="false">IF($B42=1,IF(Nur_Zinsen=1,Fremdkapital,IF($A42&gt;=Laufzeit_FK,0,IF(Zins_FK=0,Fremdkapital*(1-$A42/Laufzeit_FK),MAX(0,Fremdkapital*(1+Zins_FK)^$A42-KD_FK_Jahr*((1+Zins_FK)^$A42-1)/Zins_FK)))),"")</f>
        <v>5243.3998966794</v>
      </c>
      <c r="R42" s="57" t="n">
        <f aca="false">IF($B42=1,1/(1+Diskontsatz)^$A42,"")</f>
        <v>0.225285430707437</v>
      </c>
      <c r="S42" s="54" t="n">
        <f aca="false">IF($B42=1,K42*R42,"")</f>
        <v>-68.4015421907618</v>
      </c>
      <c r="T42" s="18" t="n">
        <f aca="false">IF($B42=1,IF(K42&lt;0,$A42,""),"")</f>
        <v>38</v>
      </c>
    </row>
    <row r="43" customFormat="false" ht="15" hidden="false" customHeight="false" outlineLevel="0" collapsed="false">
      <c r="A43" s="18" t="n">
        <f aca="false">A42+1</f>
        <v>39</v>
      </c>
      <c r="B43" s="18" t="n">
        <f aca="false">IF($A43&lt;=Horizont,1,0)</f>
        <v>1</v>
      </c>
      <c r="C43" s="20" t="n">
        <f aca="false">IF($B43=1,Miete*(1+Mietsteigerung)^($A43-1),"")</f>
        <v>10.2166906529924</v>
      </c>
      <c r="D43" s="20" t="n">
        <f aca="false">IF($B43=1,Bewirtschaftung*(1+Kostensteigerung)^($A43-1),"")</f>
        <v>7.91617449565879</v>
      </c>
      <c r="E43" s="19" t="n">
        <f aca="false">IF($B43=1,C43*Flaeche*12/1000000,"")</f>
        <v>1794.86821391771</v>
      </c>
      <c r="F43" s="19" t="n">
        <f aca="false">IF($B43=1,D43*Flaeche*12/1000000,"")</f>
        <v>1390.71353539734</v>
      </c>
      <c r="G43" s="19" t="n">
        <f aca="false">IF($B43=1,E43-F43,"")</f>
        <v>404.154678520369</v>
      </c>
      <c r="H43" s="19" t="n">
        <f aca="false">IF($B43=1,IF(OR(Nur_Zinsen=1,$A43&lt;=Laufzeit_EK),KD_EK_Jahr,0),"")</f>
        <v>125.685541213762</v>
      </c>
      <c r="I43" s="19" t="n">
        <f aca="false">IF($B43=1,IF(OR(Nur_Zinsen=1,$A43&lt;=Laufzeit_FK),KD_FK_Jahr,0),"")</f>
        <v>591.588743245954</v>
      </c>
      <c r="J43" s="19" t="n">
        <f aca="false">IF($B43=1,H43+I43,"")</f>
        <v>717.274284459716</v>
      </c>
      <c r="K43" s="54" t="n">
        <f aca="false">IF($B43=1,G43-J43,"")</f>
        <v>-313.119605939347</v>
      </c>
      <c r="L43" s="55" t="n">
        <f aca="false">IF($B43=1,K43*1000000/Flaeche/12,"")</f>
        <v>-1.78232926878044</v>
      </c>
      <c r="M43" s="56" t="n">
        <f aca="false">IF($B43=1,K43*1000000/Wohnungen/12,"")</f>
        <v>-108.722085395607</v>
      </c>
      <c r="N43" s="56" t="n">
        <f aca="false">IF($B43=1,N42+K43,"")</f>
        <v>-7830.07779350485</v>
      </c>
      <c r="O43" s="54" t="n">
        <f aca="false">IF($B43=1,G43-I43,"")</f>
        <v>-187.434064725585</v>
      </c>
      <c r="P43" s="15" t="n">
        <f aca="false">IF($B43=1,IF(Nur_Zinsen=1,Eigenkapital,IF($A43&gt;=Laufzeit_EK,0,IF(Zins_EK=0,Eigenkapital*(1-$A43/Laufzeit_EK),MAX(0,Eigenkapital*(1+Zins_EK)^$A43-KD_EK_Jahr*((1+Zins_EK)^$A43-1)/Zins_EK)))),"")</f>
        <v>1101.06525670233</v>
      </c>
      <c r="Q43" s="15" t="n">
        <f aca="false">IF($B43=1,IF(Nur_Zinsen=1,Fremdkapital,IF($A43&gt;=Laufzeit_FK,0,IF(Zins_FK=0,Fremdkapital*(1-$A43/Laufzeit_FK),MAX(0,Fremdkapital*(1+Zins_FK)^$A43-KD_FK_Jahr*((1+Zins_FK)^$A43-1)/Zins_FK)))),"")</f>
        <v>4913.98114826743</v>
      </c>
      <c r="R43" s="57" t="n">
        <f aca="false">IF($B43=1,1/(1+Diskontsatz)^$A43,"")</f>
        <v>0.216620606449459</v>
      </c>
      <c r="S43" s="54" t="n">
        <f aca="false">IF($B43=1,K43*R43,"")</f>
        <v>-67.8281589297969</v>
      </c>
      <c r="T43" s="18" t="n">
        <f aca="false">IF($B43=1,IF(K43&lt;0,$A43,""),"")</f>
        <v>39</v>
      </c>
    </row>
    <row r="44" customFormat="false" ht="15" hidden="false" customHeight="false" outlineLevel="0" collapsed="false">
      <c r="A44" s="18" t="n">
        <f aca="false">A43+1</f>
        <v>40</v>
      </c>
      <c r="B44" s="18" t="n">
        <f aca="false">IF($A44&lt;=Horizont,1,0)</f>
        <v>1</v>
      </c>
      <c r="C44" s="20" t="n">
        <f aca="false">IF($B44=1,Miete*(1+Mietsteigerung)^($A44-1),"")</f>
        <v>10.3188575595223</v>
      </c>
      <c r="D44" s="20" t="n">
        <f aca="false">IF($B44=1,Bewirtschaftung*(1+Kostensteigerung)^($A44-1),"")</f>
        <v>8.07449798557197</v>
      </c>
      <c r="E44" s="19" t="n">
        <f aca="false">IF($B44=1,C44*Flaeche*12/1000000,"")</f>
        <v>1812.81689605688</v>
      </c>
      <c r="F44" s="19" t="n">
        <f aca="false">IF($B44=1,D44*Flaeche*12/1000000,"")</f>
        <v>1418.52780610528</v>
      </c>
      <c r="G44" s="19" t="n">
        <f aca="false">IF($B44=1,E44-F44,"")</f>
        <v>394.2890899516</v>
      </c>
      <c r="H44" s="19" t="n">
        <f aca="false">IF($B44=1,IF(OR(Nur_Zinsen=1,$A44&lt;=Laufzeit_EK),KD_EK_Jahr,0),"")</f>
        <v>125.685541213762</v>
      </c>
      <c r="I44" s="19" t="n">
        <f aca="false">IF($B44=1,IF(OR(Nur_Zinsen=1,$A44&lt;=Laufzeit_FK),KD_FK_Jahr,0),"")</f>
        <v>591.588743245954</v>
      </c>
      <c r="J44" s="19" t="n">
        <f aca="false">IF($B44=1,H44+I44,"")</f>
        <v>717.274284459716</v>
      </c>
      <c r="K44" s="54" t="n">
        <f aca="false">IF($B44=1,G44-J44,"")</f>
        <v>-322.985194508116</v>
      </c>
      <c r="L44" s="55" t="n">
        <f aca="false">IF($B44=1,K44*1000000/Flaeche/12,"")</f>
        <v>-1.83848585216369</v>
      </c>
      <c r="M44" s="56" t="n">
        <f aca="false">IF($B44=1,K44*1000000/Wohnungen/12,"")</f>
        <v>-112.147636981985</v>
      </c>
      <c r="N44" s="56" t="n">
        <f aca="false">IF($B44=1,N43+K44,"")</f>
        <v>-8153.06298801297</v>
      </c>
      <c r="O44" s="54" t="n">
        <f aca="false">IF($B44=1,G44-I44,"")</f>
        <v>-197.299653294354</v>
      </c>
      <c r="P44" s="15" t="n">
        <f aca="false">IF($B44=1,IF(Nur_Zinsen=1,Eigenkapital,IF($A44&gt;=Laufzeit_EK,0,IF(Zins_EK=0,Eigenkapital*(1-$A44/Laufzeit_EK),MAX(0,Eigenkapital*(1+Zins_EK)^$A44-KD_EK_Jahr*((1+Zins_EK)^$A44-1)/Zins_EK)))),"")</f>
        <v>1019.42232575666</v>
      </c>
      <c r="Q44" s="15" t="n">
        <f aca="false">IF($B44=1,IF(Nur_Zinsen=1,Fremdkapital,IF($A44&gt;=Laufzeit_FK,0,IF(Zins_FK=0,Fremdkapital*(1-$A44/Laufzeit_FK),MAX(0,Fremdkapital*(1+Zins_FK)^$A44-KD_FK_Jahr*((1+Zins_FK)^$A44-1)/Zins_FK)))),"")</f>
        <v>4568.09146243484</v>
      </c>
      <c r="R44" s="57" t="n">
        <f aca="false">IF($B44=1,1/(1+Diskontsatz)^$A44,"")</f>
        <v>0.208289044662941</v>
      </c>
      <c r="S44" s="54" t="n">
        <f aca="false">IF($B44=1,K44*R44,"")</f>
        <v>-67.2742776043698</v>
      </c>
      <c r="T44" s="18" t="n">
        <f aca="false">IF($B44=1,IF(K44&lt;0,$A44,""),"")</f>
        <v>40</v>
      </c>
    </row>
    <row r="45" customFormat="false" ht="15" hidden="false" customHeight="false" outlineLevel="0" collapsed="false">
      <c r="A45" s="18" t="n">
        <f aca="false">A44+1</f>
        <v>41</v>
      </c>
      <c r="B45" s="18" t="n">
        <f aca="false">IF($A45&lt;=Horizont,1,0)</f>
        <v>1</v>
      </c>
      <c r="C45" s="20" t="n">
        <f aca="false">IF($B45=1,Miete*(1+Mietsteigerung)^($A45-1),"")</f>
        <v>10.4220461351175</v>
      </c>
      <c r="D45" s="20" t="n">
        <f aca="false">IF($B45=1,Bewirtschaftung*(1+Kostensteigerung)^($A45-1),"")</f>
        <v>8.2359879452834</v>
      </c>
      <c r="E45" s="19" t="n">
        <f aca="false">IF($B45=1,C45*Flaeche*12/1000000,"")</f>
        <v>1830.94506501745</v>
      </c>
      <c r="F45" s="19" t="n">
        <f aca="false">IF($B45=1,D45*Flaeche*12/1000000,"")</f>
        <v>1446.89836222739</v>
      </c>
      <c r="G45" s="19" t="n">
        <f aca="false">IF($B45=1,E45-F45,"")</f>
        <v>384.046702790063</v>
      </c>
      <c r="H45" s="19" t="n">
        <f aca="false">IF($B45=1,IF(OR(Nur_Zinsen=1,$A45&lt;=Laufzeit_EK),KD_EK_Jahr,0),"")</f>
        <v>125.685541213762</v>
      </c>
      <c r="I45" s="19" t="n">
        <f aca="false">IF($B45=1,IF(OR(Nur_Zinsen=1,$A45&lt;=Laufzeit_FK),KD_FK_Jahr,0),"")</f>
        <v>591.588743245954</v>
      </c>
      <c r="J45" s="19" t="n">
        <f aca="false">IF($B45=1,H45+I45,"")</f>
        <v>717.274284459716</v>
      </c>
      <c r="K45" s="54" t="n">
        <f aca="false">IF($B45=1,G45-J45,"")</f>
        <v>-333.227581669653</v>
      </c>
      <c r="L45" s="55" t="n">
        <f aca="false">IF($B45=1,K45*1000000/Flaeche/12,"")</f>
        <v>-1.8967872362799</v>
      </c>
      <c r="M45" s="56" t="n">
        <f aca="false">IF($B45=1,K45*1000000/Wohnungen/12,"")</f>
        <v>-115.704021413074</v>
      </c>
      <c r="N45" s="56" t="n">
        <f aca="false">IF($B45=1,N44+K45,"")</f>
        <v>-8486.29056968262</v>
      </c>
      <c r="O45" s="54" t="n">
        <f aca="false">IF($B45=1,G45-I45,"")</f>
        <v>-207.542040455891</v>
      </c>
      <c r="P45" s="15" t="n">
        <f aca="false">IF($B45=1,IF(Nur_Zinsen=1,Eigenkapital,IF($A45&gt;=Laufzeit_EK,0,IF(Zins_EK=0,Eigenkapital*(1-$A45/Laufzeit_EK),MAX(0,Eigenkapital*(1+Zins_EK)^$A45-KD_EK_Jahr*((1+Zins_EK)^$A45-1)/Zins_EK)))),"")</f>
        <v>934.513677573161</v>
      </c>
      <c r="Q45" s="15" t="n">
        <f aca="false">IF($B45=1,IF(Nur_Zinsen=1,Fremdkapital,IF($A45&gt;=Laufzeit_FK,0,IF(Zins_FK=0,Fremdkapital*(1-$A45/Laufzeit_FK),MAX(0,Fremdkapital*(1+Zins_FK)^$A45-KD_FK_Jahr*((1+Zins_FK)^$A45-1)/Zins_FK)))),"")</f>
        <v>4204.90729231063</v>
      </c>
      <c r="R45" s="57" t="n">
        <f aca="false">IF($B45=1,1/(1+Diskontsatz)^$A45,"")</f>
        <v>0.20027792756052</v>
      </c>
      <c r="S45" s="54" t="n">
        <f aca="false">IF($B45=1,K45*R45,"")</f>
        <v>-66.7381294628022</v>
      </c>
      <c r="T45" s="18" t="n">
        <f aca="false">IF($B45=1,IF(K45&lt;0,$A45,""),"")</f>
        <v>41</v>
      </c>
    </row>
    <row r="46" customFormat="false" ht="15" hidden="false" customHeight="false" outlineLevel="0" collapsed="false">
      <c r="A46" s="18" t="n">
        <f aca="false">A45+1</f>
        <v>42</v>
      </c>
      <c r="B46" s="18" t="n">
        <f aca="false">IF($A46&lt;=Horizont,1,0)</f>
        <v>1</v>
      </c>
      <c r="C46" s="20" t="n">
        <f aca="false">IF($B46=1,Miete*(1+Mietsteigerung)^($A46-1),"")</f>
        <v>10.5262665964687</v>
      </c>
      <c r="D46" s="20" t="n">
        <f aca="false">IF($B46=1,Bewirtschaftung*(1+Kostensteigerung)^($A46-1),"")</f>
        <v>8.40070770418907</v>
      </c>
      <c r="E46" s="19" t="n">
        <f aca="false">IF($B46=1,C46*Flaeche*12/1000000,"")</f>
        <v>1849.25451566763</v>
      </c>
      <c r="F46" s="19" t="n">
        <f aca="false">IF($B46=1,D46*Flaeche*12/1000000,"")</f>
        <v>1475.83632947194</v>
      </c>
      <c r="G46" s="19" t="n">
        <f aca="false">IF($B46=1,E46-F46,"")</f>
        <v>373.418186195689</v>
      </c>
      <c r="H46" s="19" t="n">
        <f aca="false">IF($B46=1,IF(OR(Nur_Zinsen=1,$A46&lt;=Laufzeit_EK),KD_EK_Jahr,0),"")</f>
        <v>125.685541213762</v>
      </c>
      <c r="I46" s="19" t="n">
        <f aca="false">IF($B46=1,IF(OR(Nur_Zinsen=1,$A46&lt;=Laufzeit_FK),KD_FK_Jahr,0),"")</f>
        <v>591.588743245954</v>
      </c>
      <c r="J46" s="19" t="n">
        <f aca="false">IF($B46=1,H46+I46,"")</f>
        <v>717.274284459716</v>
      </c>
      <c r="K46" s="54" t="n">
        <f aca="false">IF($B46=1,G46-J46,"")</f>
        <v>-343.856098264027</v>
      </c>
      <c r="L46" s="55" t="n">
        <f aca="false">IF($B46=1,K46*1000000/Flaeche/12,"")</f>
        <v>-1.9572865338344</v>
      </c>
      <c r="M46" s="56" t="n">
        <f aca="false">IF($B46=1,K46*1000000/Wohnungen/12,"")</f>
        <v>-119.394478563898</v>
      </c>
      <c r="N46" s="56" t="n">
        <f aca="false">IF($B46=1,N45+K46,"")</f>
        <v>-8830.14666794665</v>
      </c>
      <c r="O46" s="54" t="n">
        <f aca="false">IF($B46=1,G46-I46,"")</f>
        <v>-218.170557050265</v>
      </c>
      <c r="P46" s="15" t="n">
        <f aca="false">IF($B46=1,IF(Nur_Zinsen=1,Eigenkapital,IF($A46&gt;=Laufzeit_EK,0,IF(Zins_EK=0,Eigenkapital*(1-$A46/Laufzeit_EK),MAX(0,Eigenkapital*(1+Zins_EK)^$A46-KD_EK_Jahr*((1+Zins_EK)^$A46-1)/Zins_EK)))),"")</f>
        <v>846.208683462324</v>
      </c>
      <c r="Q46" s="15" t="n">
        <f aca="false">IF($B46=1,IF(Nur_Zinsen=1,Fremdkapital,IF($A46&gt;=Laufzeit_FK,0,IF(Zins_FK=0,Fremdkapital*(1-$A46/Laufzeit_FK),MAX(0,Fremdkapital*(1+Zins_FK)^$A46-KD_FK_Jahr*((1+Zins_FK)^$A46-1)/Zins_FK)))),"")</f>
        <v>3823.56391368019</v>
      </c>
      <c r="R46" s="57" t="n">
        <f aca="false">IF($B46=1,1/(1+Diskontsatz)^$A46,"")</f>
        <v>0.192574930346654</v>
      </c>
      <c r="S46" s="54" t="n">
        <f aca="false">IF($B46=1,K46*R46,"")</f>
        <v>-66.2180641724673</v>
      </c>
      <c r="T46" s="18" t="n">
        <f aca="false">IF($B46=1,IF(K46&lt;0,$A46,""),"")</f>
        <v>42</v>
      </c>
    </row>
    <row r="47" customFormat="false" ht="15" hidden="false" customHeight="false" outlineLevel="0" collapsed="false">
      <c r="A47" s="18" t="n">
        <f aca="false">A46+1</f>
        <v>43</v>
      </c>
      <c r="B47" s="18" t="n">
        <f aca="false">IF($A47&lt;=Horizont,1,0)</f>
        <v>1</v>
      </c>
      <c r="C47" s="20" t="n">
        <f aca="false">IF($B47=1,Miete*(1+Mietsteigerung)^($A47-1),"")</f>
        <v>10.6315292624334</v>
      </c>
      <c r="D47" s="20" t="n">
        <f aca="false">IF($B47=1,Bewirtschaftung*(1+Kostensteigerung)^($A47-1),"")</f>
        <v>8.56872185827285</v>
      </c>
      <c r="E47" s="19" t="n">
        <f aca="false">IF($B47=1,C47*Flaeche*12/1000000,"")</f>
        <v>1867.7470608243</v>
      </c>
      <c r="F47" s="19" t="n">
        <f aca="false">IF($B47=1,D47*Flaeche*12/1000000,"")</f>
        <v>1505.35305606138</v>
      </c>
      <c r="G47" s="19" t="n">
        <f aca="false">IF($B47=1,E47-F47,"")</f>
        <v>362.394004762927</v>
      </c>
      <c r="H47" s="19" t="n">
        <f aca="false">IF($B47=1,IF(OR(Nur_Zinsen=1,$A47&lt;=Laufzeit_EK),KD_EK_Jahr,0),"")</f>
        <v>125.685541213762</v>
      </c>
      <c r="I47" s="19" t="n">
        <f aca="false">IF($B47=1,IF(OR(Nur_Zinsen=1,$A47&lt;=Laufzeit_FK),KD_FK_Jahr,0),"")</f>
        <v>591.588743245954</v>
      </c>
      <c r="J47" s="19" t="n">
        <f aca="false">IF($B47=1,H47+I47,"")</f>
        <v>717.274284459716</v>
      </c>
      <c r="K47" s="54" t="n">
        <f aca="false">IF($B47=1,G47-J47,"")</f>
        <v>-354.880279696789</v>
      </c>
      <c r="L47" s="55" t="n">
        <f aca="false">IF($B47=1,K47*1000000/Flaeche/12,"")</f>
        <v>-2.02003802195349</v>
      </c>
      <c r="M47" s="56" t="n">
        <f aca="false">IF($B47=1,K47*1000000/Wohnungen/12,"")</f>
        <v>-123.222319339163</v>
      </c>
      <c r="N47" s="56" t="n">
        <f aca="false">IF($B47=1,N46+K47,"")</f>
        <v>-9185.02694764344</v>
      </c>
      <c r="O47" s="54" t="n">
        <f aca="false">IF($B47=1,G47-I47,"")</f>
        <v>-229.194738483027</v>
      </c>
      <c r="P47" s="15" t="n">
        <f aca="false">IF($B47=1,IF(Nur_Zinsen=1,Eigenkapital,IF($A47&gt;=Laufzeit_EK,0,IF(Zins_EK=0,Eigenkapital*(1-$A47/Laufzeit_EK),MAX(0,Eigenkapital*(1+Zins_EK)^$A47-KD_EK_Jahr*((1+Zins_EK)^$A47-1)/Zins_EK)))),"")</f>
        <v>754.371489587056</v>
      </c>
      <c r="Q47" s="15" t="n">
        <f aca="false">IF($B47=1,IF(Nur_Zinsen=1,Fremdkapital,IF($A47&gt;=Laufzeit_FK,0,IF(Zins_FK=0,Fremdkapital*(1-$A47/Laufzeit_FK),MAX(0,Fremdkapital*(1+Zins_FK)^$A47-KD_FK_Jahr*((1+Zins_FK)^$A47-1)/Zins_FK)))),"")</f>
        <v>3423.15336611826</v>
      </c>
      <c r="R47" s="57" t="n">
        <f aca="false">IF($B47=1,1/(1+Diskontsatz)^$A47,"")</f>
        <v>0.185168202256398</v>
      </c>
      <c r="S47" s="54" t="n">
        <f aca="false">IF($B47=1,K47*R47,"")</f>
        <v>-65.7125434077022</v>
      </c>
      <c r="T47" s="18" t="n">
        <f aca="false">IF($B47=1,IF(K47&lt;0,$A47,""),"")</f>
        <v>43</v>
      </c>
    </row>
    <row r="48" customFormat="false" ht="15" hidden="false" customHeight="false" outlineLevel="0" collapsed="false">
      <c r="A48" s="18" t="n">
        <f aca="false">A47+1</f>
        <v>44</v>
      </c>
      <c r="B48" s="18" t="n">
        <f aca="false">IF($A48&lt;=Horizont,1,0)</f>
        <v>1</v>
      </c>
      <c r="C48" s="20" t="n">
        <f aca="false">IF($B48=1,Miete*(1+Mietsteigerung)^($A48-1),"")</f>
        <v>10.7378445550577</v>
      </c>
      <c r="D48" s="20" t="n">
        <f aca="false">IF($B48=1,Bewirtschaftung*(1+Kostensteigerung)^($A48-1),"")</f>
        <v>8.74009629543831</v>
      </c>
      <c r="E48" s="19" t="n">
        <f aca="false">IF($B48=1,C48*Flaeche*12/1000000,"")</f>
        <v>1886.42453143254</v>
      </c>
      <c r="F48" s="19" t="n">
        <f aca="false">IF($B48=1,D48*Flaeche*12/1000000,"")</f>
        <v>1535.4601171826</v>
      </c>
      <c r="G48" s="19" t="n">
        <f aca="false">IF($B48=1,E48-F48,"")</f>
        <v>350.964414249942</v>
      </c>
      <c r="H48" s="19" t="n">
        <f aca="false">IF($B48=1,IF(OR(Nur_Zinsen=1,$A48&lt;=Laufzeit_EK),KD_EK_Jahr,0),"")</f>
        <v>125.685541213762</v>
      </c>
      <c r="I48" s="19" t="n">
        <f aca="false">IF($B48=1,IF(OR(Nur_Zinsen=1,$A48&lt;=Laufzeit_FK),KD_FK_Jahr,0),"")</f>
        <v>591.588743245954</v>
      </c>
      <c r="J48" s="19" t="n">
        <f aca="false">IF($B48=1,H48+I48,"")</f>
        <v>717.274284459716</v>
      </c>
      <c r="K48" s="54" t="n">
        <f aca="false">IF($B48=1,G48-J48,"")</f>
        <v>-366.309870209774</v>
      </c>
      <c r="L48" s="55" t="n">
        <f aca="false">IF($B48=1,K48*1000000/Flaeche/12,"")</f>
        <v>-2.08509716649462</v>
      </c>
      <c r="M48" s="56" t="n">
        <f aca="false">IF($B48=1,K48*1000000/Wohnungen/12,"")</f>
        <v>-127.190927156172</v>
      </c>
      <c r="N48" s="56" t="n">
        <f aca="false">IF($B48=1,N47+K48,"")</f>
        <v>-9551.33681785321</v>
      </c>
      <c r="O48" s="54" t="n">
        <f aca="false">IF($B48=1,G48-I48,"")</f>
        <v>-240.624328996012</v>
      </c>
      <c r="P48" s="15" t="n">
        <f aca="false">IF($B48=1,IF(Nur_Zinsen=1,Eigenkapital,IF($A48&gt;=Laufzeit_EK,0,IF(Zins_EK=0,Eigenkapital*(1-$A48/Laufzeit_EK),MAX(0,Eigenkapital*(1+Zins_EK)^$A48-KD_EK_Jahr*((1+Zins_EK)^$A48-1)/Zins_EK)))),"")</f>
        <v>658.860807956777</v>
      </c>
      <c r="Q48" s="15" t="n">
        <f aca="false">IF($B48=1,IF(Nur_Zinsen=1,Fremdkapital,IF($A48&gt;=Laufzeit_FK,0,IF(Zins_FK=0,Fremdkapital*(1-$A48/Laufzeit_FK),MAX(0,Fremdkapital*(1+Zins_FK)^$A48-KD_FK_Jahr*((1+Zins_FK)^$A48-1)/Zins_FK)))),"")</f>
        <v>3002.72229117822</v>
      </c>
      <c r="R48" s="57" t="n">
        <f aca="false">IF($B48=1,1/(1+Diskontsatz)^$A48,"")</f>
        <v>0.17804634832346</v>
      </c>
      <c r="S48" s="54" t="n">
        <f aca="false">IF($B48=1,K48*R48,"")</f>
        <v>-65.2201347456908</v>
      </c>
      <c r="T48" s="18" t="n">
        <f aca="false">IF($B48=1,IF(K48&lt;0,$A48,""),"")</f>
        <v>44</v>
      </c>
    </row>
    <row r="49" customFormat="false" ht="15" hidden="false" customHeight="false" outlineLevel="0" collapsed="false">
      <c r="A49" s="18" t="n">
        <f aca="false">A48+1</f>
        <v>45</v>
      </c>
      <c r="B49" s="18" t="n">
        <f aca="false">IF($A49&lt;=Horizont,1,0)</f>
        <v>1</v>
      </c>
      <c r="C49" s="20" t="n">
        <f aca="false">IF($B49=1,Miete*(1+Mietsteigerung)^($A49-1),"")</f>
        <v>10.8452230006083</v>
      </c>
      <c r="D49" s="20" t="n">
        <f aca="false">IF($B49=1,Bewirtschaftung*(1+Kostensteigerung)^($A49-1),"")</f>
        <v>8.91489822134708</v>
      </c>
      <c r="E49" s="19" t="n">
        <f aca="false">IF($B49=1,C49*Flaeche*12/1000000,"")</f>
        <v>1905.28877674687</v>
      </c>
      <c r="F49" s="19" t="n">
        <f aca="false">IF($B49=1,D49*Flaeche*12/1000000,"")</f>
        <v>1566.16931952625</v>
      </c>
      <c r="G49" s="19" t="n">
        <f aca="false">IF($B49=1,E49-F49,"")</f>
        <v>339.119457220616</v>
      </c>
      <c r="H49" s="19" t="n">
        <f aca="false">IF($B49=1,IF(OR(Nur_Zinsen=1,$A49&lt;=Laufzeit_EK),KD_EK_Jahr,0),"")</f>
        <v>125.685541213762</v>
      </c>
      <c r="I49" s="19" t="n">
        <f aca="false">IF($B49=1,IF(OR(Nur_Zinsen=1,$A49&lt;=Laufzeit_FK),KD_FK_Jahr,0),"")</f>
        <v>591.588743245954</v>
      </c>
      <c r="J49" s="19" t="n">
        <f aca="false">IF($B49=1,H49+I49,"")</f>
        <v>717.274284459716</v>
      </c>
      <c r="K49" s="54" t="n">
        <f aca="false">IF($B49=1,G49-J49,"")</f>
        <v>-378.1548272391</v>
      </c>
      <c r="L49" s="55" t="n">
        <f aca="false">IF($B49=1,K49*1000000/Flaeche/12,"")</f>
        <v>-2.1525206468528</v>
      </c>
      <c r="M49" s="56" t="n">
        <f aca="false">IF($B49=1,K49*1000000/Wohnungen/12,"")</f>
        <v>-131.303759458021</v>
      </c>
      <c r="N49" s="56" t="n">
        <f aca="false">IF($B49=1,N48+K49,"")</f>
        <v>-9929.49164509231</v>
      </c>
      <c r="O49" s="54" t="n">
        <f aca="false">IF($B49=1,G49-I49,"")</f>
        <v>-252.469286025338</v>
      </c>
      <c r="P49" s="15" t="n">
        <f aca="false">IF($B49=1,IF(Nur_Zinsen=1,Eigenkapital,IF($A49&gt;=Laufzeit_EK,0,IF(Zins_EK=0,Eigenkapital*(1-$A49/Laufzeit_EK),MAX(0,Eigenkapital*(1+Zins_EK)^$A49-KD_EK_Jahr*((1+Zins_EK)^$A49-1)/Zins_EK)))),"")</f>
        <v>559.529699061284</v>
      </c>
      <c r="Q49" s="15" t="n">
        <f aca="false">IF($B49=1,IF(Nur_Zinsen=1,Fremdkapital,IF($A49&gt;=Laufzeit_FK,0,IF(Zins_FK=0,Fremdkapital*(1-$A49/Laufzeit_FK),MAX(0,Fremdkapital*(1+Zins_FK)^$A49-KD_FK_Jahr*((1+Zins_FK)^$A49-1)/Zins_FK)))),"")</f>
        <v>2561.26966249116</v>
      </c>
      <c r="R49" s="57" t="n">
        <f aca="false">IF($B49=1,1/(1+Diskontsatz)^$A49,"")</f>
        <v>0.171198411849481</v>
      </c>
      <c r="S49" s="54" t="n">
        <f aca="false">IF($B49=1,K49*R49,"")</f>
        <v>-64.7395058565486</v>
      </c>
      <c r="T49" s="18" t="n">
        <f aca="false">IF($B49=1,IF(K49&lt;0,$A49,""),"")</f>
        <v>45</v>
      </c>
    </row>
    <row r="50" customFormat="false" ht="15" hidden="false" customHeight="false" outlineLevel="0" collapsed="false">
      <c r="A50" s="18" t="n">
        <f aca="false">A49+1</f>
        <v>46</v>
      </c>
      <c r="B50" s="18" t="n">
        <f aca="false">IF($A50&lt;=Horizont,1,0)</f>
        <v>1</v>
      </c>
      <c r="C50" s="20" t="n">
        <f aca="false">IF($B50=1,Miete*(1+Mietsteigerung)^($A50-1),"")</f>
        <v>10.9536752306144</v>
      </c>
      <c r="D50" s="20" t="n">
        <f aca="false">IF($B50=1,Bewirtschaftung*(1+Kostensteigerung)^($A50-1),"")</f>
        <v>9.09319618577402</v>
      </c>
      <c r="E50" s="19" t="n">
        <f aca="false">IF($B50=1,C50*Flaeche*12/1000000,"")</f>
        <v>1924.34166451434</v>
      </c>
      <c r="F50" s="19" t="n">
        <f aca="false">IF($B50=1,D50*Flaeche*12/1000000,"")</f>
        <v>1597.49270591678</v>
      </c>
      <c r="G50" s="19" t="n">
        <f aca="false">IF($B50=1,E50-F50,"")</f>
        <v>326.848958597559</v>
      </c>
      <c r="H50" s="19" t="n">
        <f aca="false">IF($B50=1,IF(OR(Nur_Zinsen=1,$A50&lt;=Laufzeit_EK),KD_EK_Jahr,0),"")</f>
        <v>125.685541213762</v>
      </c>
      <c r="I50" s="19" t="n">
        <f aca="false">IF($B50=1,IF(OR(Nur_Zinsen=1,$A50&lt;=Laufzeit_FK),KD_FK_Jahr,0),"")</f>
        <v>591.588743245954</v>
      </c>
      <c r="J50" s="19" t="n">
        <f aca="false">IF($B50=1,H50+I50,"")</f>
        <v>717.274284459716</v>
      </c>
      <c r="K50" s="54" t="n">
        <f aca="false">IF($B50=1,G50-J50,"")</f>
        <v>-390.425325862157</v>
      </c>
      <c r="L50" s="55" t="n">
        <f aca="false">IF($B50=1,K50*1000000/Flaeche/12,"")</f>
        <v>-2.22236638127366</v>
      </c>
      <c r="M50" s="56" t="n">
        <f aca="false">IF($B50=1,K50*1000000/Wohnungen/12,"")</f>
        <v>-135.564349257693</v>
      </c>
      <c r="N50" s="56" t="n">
        <f aca="false">IF($B50=1,N49+K50,"")</f>
        <v>-10319.9169709545</v>
      </c>
      <c r="O50" s="54" t="n">
        <f aca="false">IF($B50=1,G50-I50,"")</f>
        <v>-264.739784648395</v>
      </c>
      <c r="P50" s="15" t="n">
        <f aca="false">IF($B50=1,IF(Nur_Zinsen=1,Eigenkapital,IF($A50&gt;=Laufzeit_EK,0,IF(Zins_EK=0,Eigenkapital*(1-$A50/Laufzeit_EK),MAX(0,Eigenkapital*(1+Zins_EK)^$A50-KD_EK_Jahr*((1+Zins_EK)^$A50-1)/Zins_EK)))),"")</f>
        <v>456.225345809975</v>
      </c>
      <c r="Q50" s="15" t="n">
        <f aca="false">IF($B50=1,IF(Nur_Zinsen=1,Fremdkapital,IF($A50&gt;=Laufzeit_FK,0,IF(Zins_FK=0,Fremdkapital*(1-$A50/Laufzeit_FK),MAX(0,Fremdkapital*(1+Zins_FK)^$A50-KD_FK_Jahr*((1+Zins_FK)^$A50-1)/Zins_FK)))),"")</f>
        <v>2097.74440236976</v>
      </c>
      <c r="R50" s="57" t="n">
        <f aca="false">IF($B50=1,1/(1+Diskontsatz)^$A50,"")</f>
        <v>0.164613857547577</v>
      </c>
      <c r="S50" s="54" t="n">
        <f aca="false">IF($B50=1,K50*R50,"")</f>
        <v>-64.2694189744396</v>
      </c>
      <c r="T50" s="18" t="n">
        <f aca="false">IF($B50=1,IF(K50&lt;0,$A50,""),"")</f>
        <v>46</v>
      </c>
    </row>
    <row r="51" customFormat="false" ht="15" hidden="false" customHeight="false" outlineLevel="0" collapsed="false">
      <c r="A51" s="18" t="n">
        <f aca="false">A50+1</f>
        <v>47</v>
      </c>
      <c r="B51" s="18" t="n">
        <f aca="false">IF($A51&lt;=Horizont,1,0)</f>
        <v>1</v>
      </c>
      <c r="C51" s="20" t="n">
        <f aca="false">IF($B51=1,Miete*(1+Mietsteigerung)^($A51-1),"")</f>
        <v>11.0632119829206</v>
      </c>
      <c r="D51" s="20" t="n">
        <f aca="false">IF($B51=1,Bewirtschaftung*(1+Kostensteigerung)^($A51-1),"")</f>
        <v>9.2750601094895</v>
      </c>
      <c r="E51" s="19" t="n">
        <f aca="false">IF($B51=1,C51*Flaeche*12/1000000,"")</f>
        <v>1943.58508115948</v>
      </c>
      <c r="F51" s="19" t="n">
        <f aca="false">IF($B51=1,D51*Flaeche*12/1000000,"")</f>
        <v>1629.44256003512</v>
      </c>
      <c r="G51" s="19" t="n">
        <f aca="false">IF($B51=1,E51-F51,"")</f>
        <v>314.142521124367</v>
      </c>
      <c r="H51" s="19" t="n">
        <f aca="false">IF($B51=1,IF(OR(Nur_Zinsen=1,$A51&lt;=Laufzeit_EK),KD_EK_Jahr,0),"")</f>
        <v>125.685541213762</v>
      </c>
      <c r="I51" s="19" t="n">
        <f aca="false">IF($B51=1,IF(OR(Nur_Zinsen=1,$A51&lt;=Laufzeit_FK),KD_FK_Jahr,0),"")</f>
        <v>591.588743245954</v>
      </c>
      <c r="J51" s="19" t="n">
        <f aca="false">IF($B51=1,H51+I51,"")</f>
        <v>717.274284459716</v>
      </c>
      <c r="K51" s="54" t="n">
        <f aca="false">IF($B51=1,G51-J51,"")</f>
        <v>-403.131763335349</v>
      </c>
      <c r="L51" s="55" t="n">
        <f aca="false">IF($B51=1,K51*1000000/Flaeche/12,"")</f>
        <v>-2.294693552683</v>
      </c>
      <c r="M51" s="56" t="n">
        <f aca="false">IF($B51=1,K51*1000000/Wohnungen/12,"")</f>
        <v>-139.976306713663</v>
      </c>
      <c r="N51" s="56" t="n">
        <f aca="false">IF($B51=1,N50+K51,"")</f>
        <v>-10723.0487342898</v>
      </c>
      <c r="O51" s="54" t="n">
        <f aca="false">IF($B51=1,G51-I51,"")</f>
        <v>-277.446222121587</v>
      </c>
      <c r="P51" s="15" t="n">
        <f aca="false">IF($B51=1,IF(Nur_Zinsen=1,Eigenkapital,IF($A51&gt;=Laufzeit_EK,0,IF(Zins_EK=0,Eigenkapital*(1-$A51/Laufzeit_EK),MAX(0,Eigenkapital*(1+Zins_EK)^$A51-KD_EK_Jahr*((1+Zins_EK)^$A51-1)/Zins_EK)))),"")</f>
        <v>348.788818428613</v>
      </c>
      <c r="Q51" s="15" t="n">
        <f aca="false">IF($B51=1,IF(Nur_Zinsen=1,Fremdkapital,IF($A51&gt;=Laufzeit_FK,0,IF(Zins_FK=0,Fremdkapital*(1-$A51/Laufzeit_FK),MAX(0,Fremdkapital*(1+Zins_FK)^$A51-KD_FK_Jahr*((1+Zins_FK)^$A51-1)/Zins_FK)))),"")</f>
        <v>1611.04287924232</v>
      </c>
      <c r="R51" s="57" t="n">
        <f aca="false">IF($B51=1,1/(1+Diskontsatz)^$A51,"")</f>
        <v>0.158282555334209</v>
      </c>
      <c r="S51" s="54" t="n">
        <f aca="false">IF($B51=1,K51*R51,"")</f>
        <v>-63.8087256371047</v>
      </c>
      <c r="T51" s="18" t="n">
        <f aca="false">IF($B51=1,IF(K51&lt;0,$A51,""),"")</f>
        <v>47</v>
      </c>
    </row>
    <row r="52" customFormat="false" ht="15" hidden="false" customHeight="false" outlineLevel="0" collapsed="false">
      <c r="A52" s="18" t="n">
        <f aca="false">A51+1</f>
        <v>48</v>
      </c>
      <c r="B52" s="18" t="n">
        <f aca="false">IF($A52&lt;=Horizont,1,0)</f>
        <v>1</v>
      </c>
      <c r="C52" s="20" t="n">
        <f aca="false">IF($B52=1,Miete*(1+Mietsteigerung)^($A52-1),"")</f>
        <v>11.1738441027498</v>
      </c>
      <c r="D52" s="20" t="n">
        <f aca="false">IF($B52=1,Bewirtschaftung*(1+Kostensteigerung)^($A52-1),"")</f>
        <v>9.46056131167929</v>
      </c>
      <c r="E52" s="19" t="n">
        <f aca="false">IF($B52=1,C52*Flaeche*12/1000000,"")</f>
        <v>1963.02093197108</v>
      </c>
      <c r="F52" s="19" t="n">
        <f aca="false">IF($B52=1,D52*Flaeche*12/1000000,"")</f>
        <v>1662.03141123582</v>
      </c>
      <c r="G52" s="19" t="n">
        <f aca="false">IF($B52=1,E52-F52,"")</f>
        <v>300.98952073526</v>
      </c>
      <c r="H52" s="19" t="n">
        <f aca="false">IF($B52=1,IF(OR(Nur_Zinsen=1,$A52&lt;=Laufzeit_EK),KD_EK_Jahr,0),"")</f>
        <v>125.685541213762</v>
      </c>
      <c r="I52" s="19" t="n">
        <f aca="false">IF($B52=1,IF(OR(Nur_Zinsen=1,$A52&lt;=Laufzeit_FK),KD_FK_Jahr,0),"")</f>
        <v>591.588743245954</v>
      </c>
      <c r="J52" s="19" t="n">
        <f aca="false">IF($B52=1,H52+I52,"")</f>
        <v>717.274284459716</v>
      </c>
      <c r="K52" s="54" t="n">
        <f aca="false">IF($B52=1,G52-J52,"")</f>
        <v>-416.284763724456</v>
      </c>
      <c r="L52" s="55" t="n">
        <f aca="false">IF($B52=1,K52*1000000/Flaeche/12,"")</f>
        <v>-2.36956263504358</v>
      </c>
      <c r="M52" s="56" t="n">
        <f aca="false">IF($B52=1,K52*1000000/Wohnungen/12,"")</f>
        <v>-144.543320737658</v>
      </c>
      <c r="N52" s="56" t="n">
        <f aca="false">IF($B52=1,N51+K52,"")</f>
        <v>-11139.3334980143</v>
      </c>
      <c r="O52" s="54" t="n">
        <f aca="false">IF($B52=1,G52-I52,"")</f>
        <v>-290.599222510694</v>
      </c>
      <c r="P52" s="15" t="n">
        <f aca="false">IF($B52=1,IF(Nur_Zinsen=1,Eigenkapital,IF($A52&gt;=Laufzeit_EK,0,IF(Zins_EK=0,Eigenkapital*(1-$A52/Laufzeit_EK),MAX(0,Eigenkapital*(1+Zins_EK)^$A52-KD_EK_Jahr*((1+Zins_EK)^$A52-1)/Zins_EK)))),"")</f>
        <v>237.054829951994</v>
      </c>
      <c r="Q52" s="15" t="n">
        <f aca="false">IF($B52=1,IF(Nur_Zinsen=1,Fremdkapital,IF($A52&gt;=Laufzeit_FK,0,IF(Zins_FK=0,Fremdkapital*(1-$A52/Laufzeit_FK),MAX(0,Fremdkapital*(1+Zins_FK)^$A52-KD_FK_Jahr*((1+Zins_FK)^$A52-1)/Zins_FK)))),"")</f>
        <v>1100.00627995846</v>
      </c>
      <c r="R52" s="57" t="n">
        <f aca="false">IF($B52=1,1/(1+Diskontsatz)^$A52,"")</f>
        <v>0.152194764744432</v>
      </c>
      <c r="S52" s="54" t="n">
        <f aca="false">IF($B52=1,K52*R52,"")</f>
        <v>-63.3563616817349</v>
      </c>
      <c r="T52" s="18" t="n">
        <f aca="false">IF($B52=1,IF(K52&lt;0,$A52,""),"")</f>
        <v>48</v>
      </c>
    </row>
    <row r="53" customFormat="false" ht="15" hidden="false" customHeight="false" outlineLevel="0" collapsed="false">
      <c r="A53" s="18" t="n">
        <f aca="false">A52+1</f>
        <v>49</v>
      </c>
      <c r="B53" s="18" t="n">
        <f aca="false">IF($A53&lt;=Horizont,1,0)</f>
        <v>1</v>
      </c>
      <c r="C53" s="20" t="n">
        <f aca="false">IF($B53=1,Miete*(1+Mietsteigerung)^($A53-1),"")</f>
        <v>11.2855825437773</v>
      </c>
      <c r="D53" s="20" t="n">
        <f aca="false">IF($B53=1,Bewirtschaftung*(1+Kostensteigerung)^($A53-1),"")</f>
        <v>9.64977253791288</v>
      </c>
      <c r="E53" s="19" t="n">
        <f aca="false">IF($B53=1,C53*Flaeche*12/1000000,"")</f>
        <v>1982.65114129079</v>
      </c>
      <c r="F53" s="19" t="n">
        <f aca="false">IF($B53=1,D53*Flaeche*12/1000000,"")</f>
        <v>1695.27203946053</v>
      </c>
      <c r="G53" s="19" t="n">
        <f aca="false">IF($B53=1,E53-F53,"")</f>
        <v>287.379101830254</v>
      </c>
      <c r="H53" s="19" t="n">
        <f aca="false">IF($B53=1,IF(OR(Nur_Zinsen=1,$A53&lt;=Laufzeit_EK),KD_EK_Jahr,0),"")</f>
        <v>125.685541213762</v>
      </c>
      <c r="I53" s="19" t="n">
        <f aca="false">IF($B53=1,IF(OR(Nur_Zinsen=1,$A53&lt;=Laufzeit_FK),KD_FK_Jahr,0),"")</f>
        <v>591.588743245954</v>
      </c>
      <c r="J53" s="19" t="n">
        <f aca="false">IF($B53=1,H53+I53,"")</f>
        <v>717.274284459716</v>
      </c>
      <c r="K53" s="54" t="n">
        <f aca="false">IF($B53=1,G53-J53,"")</f>
        <v>-429.895182629462</v>
      </c>
      <c r="L53" s="55" t="n">
        <f aca="false">IF($B53=1,K53*1000000/Flaeche/12,"")</f>
        <v>-2.44703542024967</v>
      </c>
      <c r="M53" s="56" t="n">
        <f aca="false">IF($B53=1,K53*1000000/Wohnungen/12,"")</f>
        <v>-149.26916063523</v>
      </c>
      <c r="N53" s="56" t="n">
        <f aca="false">IF($B53=1,N52+K53,"")</f>
        <v>-11569.2286806437</v>
      </c>
      <c r="O53" s="54" t="n">
        <f aca="false">IF($B53=1,G53-I53,"")</f>
        <v>-304.2096414157</v>
      </c>
      <c r="P53" s="15" t="n">
        <f aca="false">IF($B53=1,IF(Nur_Zinsen=1,Eigenkapital,IF($A53&gt;=Laufzeit_EK,0,IF(Zins_EK=0,Eigenkapital*(1-$A53/Laufzeit_EK),MAX(0,Eigenkapital*(1+Zins_EK)^$A53-KD_EK_Jahr*((1+Zins_EK)^$A53-1)/Zins_EK)))),"")</f>
        <v>120.851481936312</v>
      </c>
      <c r="Q53" s="15" t="n">
        <f aca="false">IF($B53=1,IF(Nur_Zinsen=1,Fremdkapital,IF($A53&gt;=Laufzeit_FK,0,IF(Zins_FK=0,Fremdkapital*(1-$A53/Laufzeit_FK),MAX(0,Fremdkapital*(1+Zins_FK)^$A53-KD_FK_Jahr*((1+Zins_FK)^$A53-1)/Zins_FK)))),"")</f>
        <v>563.417850710423</v>
      </c>
      <c r="R53" s="57" t="n">
        <f aca="false">IF($B53=1,1/(1+Diskontsatz)^$A53,"")</f>
        <v>0.146341119946569</v>
      </c>
      <c r="S53" s="54" t="n">
        <f aca="false">IF($B53=1,K53*R53,"")</f>
        <v>-62.9113424856304</v>
      </c>
      <c r="T53" s="18" t="n">
        <f aca="false">IF($B53=1,IF(K53&lt;0,$A53,""),"")</f>
        <v>49</v>
      </c>
    </row>
    <row r="54" customFormat="false" ht="15" hidden="false" customHeight="false" outlineLevel="0" collapsed="false">
      <c r="A54" s="18" t="n">
        <f aca="false">A53+1</f>
        <v>50</v>
      </c>
      <c r="B54" s="18" t="n">
        <f aca="false">IF($A54&lt;=Horizont,1,0)</f>
        <v>1</v>
      </c>
      <c r="C54" s="20" t="n">
        <f aca="false">IF($B54=1,Miete*(1+Mietsteigerung)^($A54-1),"")</f>
        <v>11.398438369215</v>
      </c>
      <c r="D54" s="20" t="n">
        <f aca="false">IF($B54=1,Bewirtschaftung*(1+Kostensteigerung)^($A54-1),"")</f>
        <v>9.84276798867114</v>
      </c>
      <c r="E54" s="19" t="n">
        <f aca="false">IF($B54=1,C54*Flaeche*12/1000000,"")</f>
        <v>2002.4776527037</v>
      </c>
      <c r="F54" s="19" t="n">
        <f aca="false">IF($B54=1,D54*Flaeche*12/1000000,"")</f>
        <v>1729.17748024974</v>
      </c>
      <c r="G54" s="19" t="n">
        <f aca="false">IF($B54=1,E54-F54,"")</f>
        <v>273.300172453951</v>
      </c>
      <c r="H54" s="19" t="n">
        <f aca="false">IF($B54=1,IF(OR(Nur_Zinsen=1,$A54&lt;=Laufzeit_EK),KD_EK_Jahr,0),"")</f>
        <v>125.685541213762</v>
      </c>
      <c r="I54" s="19" t="n">
        <f aca="false">IF($B54=1,IF(OR(Nur_Zinsen=1,$A54&lt;=Laufzeit_FK),KD_FK_Jahr,0),"")</f>
        <v>591.588743245954</v>
      </c>
      <c r="J54" s="19" t="n">
        <f aca="false">IF($B54=1,H54+I54,"")</f>
        <v>717.274284459716</v>
      </c>
      <c r="K54" s="54" t="n">
        <f aca="false">IF($B54=1,G54-J54,"")</f>
        <v>-443.974112005765</v>
      </c>
      <c r="L54" s="55" t="n">
        <f aca="false">IF($B54=1,K54*1000000/Flaeche/12,"")</f>
        <v>-2.52717504557015</v>
      </c>
      <c r="M54" s="56" t="n">
        <f aca="false">IF($B54=1,K54*1000000/Wohnungen/12,"")</f>
        <v>-154.157677779779</v>
      </c>
      <c r="N54" s="56" t="n">
        <f aca="false">IF($B54=1,N53+K54,"")</f>
        <v>-12013.2027926495</v>
      </c>
      <c r="O54" s="54" t="n">
        <f aca="false">IF($B54=1,G54-I54,"")</f>
        <v>-318.288570792003</v>
      </c>
      <c r="P54" s="15" t="n">
        <f aca="false">IF($B54=1,IF(Nur_Zinsen=1,Eigenkapital,IF($A54&gt;=Laufzeit_EK,0,IF(Zins_EK=0,Eigenkapital*(1-$A54/Laufzeit_EK),MAX(0,Eigenkapital*(1+Zins_EK)^$A54-KD_EK_Jahr*((1+Zins_EK)^$A54-1)/Zins_EK)))),"")</f>
        <v>0</v>
      </c>
      <c r="Q54" s="15" t="n">
        <f aca="false">IF($B54=1,IF(Nur_Zinsen=1,Fremdkapital,IF($A54&gt;=Laufzeit_FK,0,IF(Zins_FK=0,Fremdkapital*(1-$A54/Laufzeit_FK),MAX(0,Fremdkapital*(1+Zins_FK)^$A54-KD_FK_Jahr*((1+Zins_FK)^$A54-1)/Zins_FK)))),"")</f>
        <v>0</v>
      </c>
      <c r="R54" s="57" t="n">
        <f aca="false">IF($B54=1,1/(1+Diskontsatz)^$A54,"")</f>
        <v>0.140712615333239</v>
      </c>
      <c r="S54" s="54" t="n">
        <f aca="false">IF($B54=1,K54*R54,"")</f>
        <v>-62.4727584405837</v>
      </c>
      <c r="T54" s="18" t="n">
        <f aca="false">IF($B54=1,IF(K54&lt;0,$A54,""),"")</f>
        <v>50</v>
      </c>
    </row>
    <row r="55" customFormat="false" ht="15" hidden="false" customHeight="false" outlineLevel="0" collapsed="false">
      <c r="A55" s="18" t="n">
        <f aca="false">A54+1</f>
        <v>51</v>
      </c>
      <c r="B55" s="18" t="n">
        <f aca="false">IF($A55&lt;=Horizont,1,0)</f>
        <v>0</v>
      </c>
      <c r="C55" s="20" t="str">
        <f aca="false">IF($B55=1,Miete*(1+Mietsteigerung)^($A55-1),"")</f>
        <v/>
      </c>
      <c r="D55" s="20" t="str">
        <f aca="false">IF($B55=1,Bewirtschaftung*(1+Kostensteigerung)^($A55-1),"")</f>
        <v/>
      </c>
      <c r="E55" s="19" t="str">
        <f aca="false">IF($B55=1,C55*Flaeche*12/1000000,"")</f>
        <v/>
      </c>
      <c r="F55" s="19" t="str">
        <f aca="false">IF($B55=1,D55*Flaeche*12/1000000,"")</f>
        <v/>
      </c>
      <c r="G55" s="19" t="str">
        <f aca="false">IF($B55=1,E55-F55,"")</f>
        <v/>
      </c>
      <c r="H55" s="19" t="str">
        <f aca="false">IF($B55=1,IF(OR(Nur_Zinsen=1,$A55&lt;=Laufzeit_EK),KD_EK_Jahr,0),"")</f>
        <v/>
      </c>
      <c r="I55" s="19" t="str">
        <f aca="false">IF($B55=1,IF(OR(Nur_Zinsen=1,$A55&lt;=Laufzeit_FK),KD_FK_Jahr,0),"")</f>
        <v/>
      </c>
      <c r="J55" s="19" t="str">
        <f aca="false">IF($B55=1,H55+I55,"")</f>
        <v/>
      </c>
      <c r="K55" s="54" t="str">
        <f aca="false">IF($B55=1,G55-J55,"")</f>
        <v/>
      </c>
      <c r="L55" s="55" t="str">
        <f aca="false">IF($B55=1,K55*1000000/Flaeche/12,"")</f>
        <v/>
      </c>
      <c r="M55" s="56" t="str">
        <f aca="false">IF($B55=1,K55*1000000/Wohnungen/12,"")</f>
        <v/>
      </c>
      <c r="N55" s="56" t="str">
        <f aca="false">IF($B55=1,N54+K55,"")</f>
        <v/>
      </c>
      <c r="O55" s="54" t="str">
        <f aca="false">IF($B55=1,G55-I55,"")</f>
        <v/>
      </c>
      <c r="P55" s="15" t="str">
        <f aca="false">IF($B55=1,IF(Nur_Zinsen=1,Eigenkapital,IF($A55&gt;=Laufzeit_EK,0,IF(Zins_EK=0,Eigenkapital*(1-$A55/Laufzeit_EK),MAX(0,Eigenkapital*(1+Zins_EK)^$A55-KD_EK_Jahr*((1+Zins_EK)^$A55-1)/Zins_EK)))),"")</f>
        <v/>
      </c>
      <c r="Q55" s="15" t="str">
        <f aca="false">IF($B55=1,IF(Nur_Zinsen=1,Fremdkapital,IF($A55&gt;=Laufzeit_FK,0,IF(Zins_FK=0,Fremdkapital*(1-$A55/Laufzeit_FK),MAX(0,Fremdkapital*(1+Zins_FK)^$A55-KD_FK_Jahr*((1+Zins_FK)^$A55-1)/Zins_FK)))),"")</f>
        <v/>
      </c>
      <c r="R55" s="57" t="str">
        <f aca="false">IF($B55=1,1/(1+Diskontsatz)^$A55,"")</f>
        <v/>
      </c>
      <c r="S55" s="54" t="str">
        <f aca="false">IF($B55=1,K55*R55,"")</f>
        <v/>
      </c>
      <c r="T55" s="18" t="str">
        <f aca="false">IF($B55=1,IF(K55&lt;0,$A55,""),"")</f>
        <v/>
      </c>
    </row>
    <row r="56" customFormat="false" ht="15" hidden="false" customHeight="false" outlineLevel="0" collapsed="false">
      <c r="A56" s="18" t="n">
        <f aca="false">A55+1</f>
        <v>52</v>
      </c>
      <c r="B56" s="18" t="n">
        <f aca="false">IF($A56&lt;=Horizont,1,0)</f>
        <v>0</v>
      </c>
      <c r="C56" s="20" t="str">
        <f aca="false">IF($B56=1,Miete*(1+Mietsteigerung)^($A56-1),"")</f>
        <v/>
      </c>
      <c r="D56" s="20" t="str">
        <f aca="false">IF($B56=1,Bewirtschaftung*(1+Kostensteigerung)^($A56-1),"")</f>
        <v/>
      </c>
      <c r="E56" s="19" t="str">
        <f aca="false">IF($B56=1,C56*Flaeche*12/1000000,"")</f>
        <v/>
      </c>
      <c r="F56" s="19" t="str">
        <f aca="false">IF($B56=1,D56*Flaeche*12/1000000,"")</f>
        <v/>
      </c>
      <c r="G56" s="19" t="str">
        <f aca="false">IF($B56=1,E56-F56,"")</f>
        <v/>
      </c>
      <c r="H56" s="19" t="str">
        <f aca="false">IF($B56=1,IF(OR(Nur_Zinsen=1,$A56&lt;=Laufzeit_EK),KD_EK_Jahr,0),"")</f>
        <v/>
      </c>
      <c r="I56" s="19" t="str">
        <f aca="false">IF($B56=1,IF(OR(Nur_Zinsen=1,$A56&lt;=Laufzeit_FK),KD_FK_Jahr,0),"")</f>
        <v/>
      </c>
      <c r="J56" s="19" t="str">
        <f aca="false">IF($B56=1,H56+I56,"")</f>
        <v/>
      </c>
      <c r="K56" s="54" t="str">
        <f aca="false">IF($B56=1,G56-J56,"")</f>
        <v/>
      </c>
      <c r="L56" s="55" t="str">
        <f aca="false">IF($B56=1,K56*1000000/Flaeche/12,"")</f>
        <v/>
      </c>
      <c r="M56" s="56" t="str">
        <f aca="false">IF($B56=1,K56*1000000/Wohnungen/12,"")</f>
        <v/>
      </c>
      <c r="N56" s="56" t="str">
        <f aca="false">IF($B56=1,N55+K56,"")</f>
        <v/>
      </c>
      <c r="O56" s="54" t="str">
        <f aca="false">IF($B56=1,G56-I56,"")</f>
        <v/>
      </c>
      <c r="P56" s="15" t="str">
        <f aca="false">IF($B56=1,IF(Nur_Zinsen=1,Eigenkapital,IF($A56&gt;=Laufzeit_EK,0,IF(Zins_EK=0,Eigenkapital*(1-$A56/Laufzeit_EK),MAX(0,Eigenkapital*(1+Zins_EK)^$A56-KD_EK_Jahr*((1+Zins_EK)^$A56-1)/Zins_EK)))),"")</f>
        <v/>
      </c>
      <c r="Q56" s="15" t="str">
        <f aca="false">IF($B56=1,IF(Nur_Zinsen=1,Fremdkapital,IF($A56&gt;=Laufzeit_FK,0,IF(Zins_FK=0,Fremdkapital*(1-$A56/Laufzeit_FK),MAX(0,Fremdkapital*(1+Zins_FK)^$A56-KD_FK_Jahr*((1+Zins_FK)^$A56-1)/Zins_FK)))),"")</f>
        <v/>
      </c>
      <c r="R56" s="57" t="str">
        <f aca="false">IF($B56=1,1/(1+Diskontsatz)^$A56,"")</f>
        <v/>
      </c>
      <c r="S56" s="54" t="str">
        <f aca="false">IF($B56=1,K56*R56,"")</f>
        <v/>
      </c>
      <c r="T56" s="18" t="str">
        <f aca="false">IF($B56=1,IF(K56&lt;0,$A56,""),"")</f>
        <v/>
      </c>
    </row>
    <row r="57" customFormat="false" ht="15" hidden="false" customHeight="false" outlineLevel="0" collapsed="false">
      <c r="A57" s="18" t="n">
        <f aca="false">A56+1</f>
        <v>53</v>
      </c>
      <c r="B57" s="18" t="n">
        <f aca="false">IF($A57&lt;=Horizont,1,0)</f>
        <v>0</v>
      </c>
      <c r="C57" s="20" t="str">
        <f aca="false">IF($B57=1,Miete*(1+Mietsteigerung)^($A57-1),"")</f>
        <v/>
      </c>
      <c r="D57" s="20" t="str">
        <f aca="false">IF($B57=1,Bewirtschaftung*(1+Kostensteigerung)^($A57-1),"")</f>
        <v/>
      </c>
      <c r="E57" s="19" t="str">
        <f aca="false">IF($B57=1,C57*Flaeche*12/1000000,"")</f>
        <v/>
      </c>
      <c r="F57" s="19" t="str">
        <f aca="false">IF($B57=1,D57*Flaeche*12/1000000,"")</f>
        <v/>
      </c>
      <c r="G57" s="19" t="str">
        <f aca="false">IF($B57=1,E57-F57,"")</f>
        <v/>
      </c>
      <c r="H57" s="19" t="str">
        <f aca="false">IF($B57=1,IF(OR(Nur_Zinsen=1,$A57&lt;=Laufzeit_EK),KD_EK_Jahr,0),"")</f>
        <v/>
      </c>
      <c r="I57" s="19" t="str">
        <f aca="false">IF($B57=1,IF(OR(Nur_Zinsen=1,$A57&lt;=Laufzeit_FK),KD_FK_Jahr,0),"")</f>
        <v/>
      </c>
      <c r="J57" s="19" t="str">
        <f aca="false">IF($B57=1,H57+I57,"")</f>
        <v/>
      </c>
      <c r="K57" s="54" t="str">
        <f aca="false">IF($B57=1,G57-J57,"")</f>
        <v/>
      </c>
      <c r="L57" s="55" t="str">
        <f aca="false">IF($B57=1,K57*1000000/Flaeche/12,"")</f>
        <v/>
      </c>
      <c r="M57" s="56" t="str">
        <f aca="false">IF($B57=1,K57*1000000/Wohnungen/12,"")</f>
        <v/>
      </c>
      <c r="N57" s="56" t="str">
        <f aca="false">IF($B57=1,N56+K57,"")</f>
        <v/>
      </c>
      <c r="O57" s="54" t="str">
        <f aca="false">IF($B57=1,G57-I57,"")</f>
        <v/>
      </c>
      <c r="P57" s="15" t="str">
        <f aca="false">IF($B57=1,IF(Nur_Zinsen=1,Eigenkapital,IF($A57&gt;=Laufzeit_EK,0,IF(Zins_EK=0,Eigenkapital*(1-$A57/Laufzeit_EK),MAX(0,Eigenkapital*(1+Zins_EK)^$A57-KD_EK_Jahr*((1+Zins_EK)^$A57-1)/Zins_EK)))),"")</f>
        <v/>
      </c>
      <c r="Q57" s="15" t="str">
        <f aca="false">IF($B57=1,IF(Nur_Zinsen=1,Fremdkapital,IF($A57&gt;=Laufzeit_FK,0,IF(Zins_FK=0,Fremdkapital*(1-$A57/Laufzeit_FK),MAX(0,Fremdkapital*(1+Zins_FK)^$A57-KD_FK_Jahr*((1+Zins_FK)^$A57-1)/Zins_FK)))),"")</f>
        <v/>
      </c>
      <c r="R57" s="57" t="str">
        <f aca="false">IF($B57=1,1/(1+Diskontsatz)^$A57,"")</f>
        <v/>
      </c>
      <c r="S57" s="54" t="str">
        <f aca="false">IF($B57=1,K57*R57,"")</f>
        <v/>
      </c>
      <c r="T57" s="18" t="str">
        <f aca="false">IF($B57=1,IF(K57&lt;0,$A57,""),"")</f>
        <v/>
      </c>
    </row>
    <row r="58" customFormat="false" ht="15" hidden="false" customHeight="false" outlineLevel="0" collapsed="false">
      <c r="A58" s="18" t="n">
        <f aca="false">A57+1</f>
        <v>54</v>
      </c>
      <c r="B58" s="18" t="n">
        <f aca="false">IF($A58&lt;=Horizont,1,0)</f>
        <v>0</v>
      </c>
      <c r="C58" s="20" t="str">
        <f aca="false">IF($B58=1,Miete*(1+Mietsteigerung)^($A58-1),"")</f>
        <v/>
      </c>
      <c r="D58" s="20" t="str">
        <f aca="false">IF($B58=1,Bewirtschaftung*(1+Kostensteigerung)^($A58-1),"")</f>
        <v/>
      </c>
      <c r="E58" s="19" t="str">
        <f aca="false">IF($B58=1,C58*Flaeche*12/1000000,"")</f>
        <v/>
      </c>
      <c r="F58" s="19" t="str">
        <f aca="false">IF($B58=1,D58*Flaeche*12/1000000,"")</f>
        <v/>
      </c>
      <c r="G58" s="19" t="str">
        <f aca="false">IF($B58=1,E58-F58,"")</f>
        <v/>
      </c>
      <c r="H58" s="19" t="str">
        <f aca="false">IF($B58=1,IF(OR(Nur_Zinsen=1,$A58&lt;=Laufzeit_EK),KD_EK_Jahr,0),"")</f>
        <v/>
      </c>
      <c r="I58" s="19" t="str">
        <f aca="false">IF($B58=1,IF(OR(Nur_Zinsen=1,$A58&lt;=Laufzeit_FK),KD_FK_Jahr,0),"")</f>
        <v/>
      </c>
      <c r="J58" s="19" t="str">
        <f aca="false">IF($B58=1,H58+I58,"")</f>
        <v/>
      </c>
      <c r="K58" s="54" t="str">
        <f aca="false">IF($B58=1,G58-J58,"")</f>
        <v/>
      </c>
      <c r="L58" s="55" t="str">
        <f aca="false">IF($B58=1,K58*1000000/Flaeche/12,"")</f>
        <v/>
      </c>
      <c r="M58" s="56" t="str">
        <f aca="false">IF($B58=1,K58*1000000/Wohnungen/12,"")</f>
        <v/>
      </c>
      <c r="N58" s="56" t="str">
        <f aca="false">IF($B58=1,N57+K58,"")</f>
        <v/>
      </c>
      <c r="O58" s="54" t="str">
        <f aca="false">IF($B58=1,G58-I58,"")</f>
        <v/>
      </c>
      <c r="P58" s="15" t="str">
        <f aca="false">IF($B58=1,IF(Nur_Zinsen=1,Eigenkapital,IF($A58&gt;=Laufzeit_EK,0,IF(Zins_EK=0,Eigenkapital*(1-$A58/Laufzeit_EK),MAX(0,Eigenkapital*(1+Zins_EK)^$A58-KD_EK_Jahr*((1+Zins_EK)^$A58-1)/Zins_EK)))),"")</f>
        <v/>
      </c>
      <c r="Q58" s="15" t="str">
        <f aca="false">IF($B58=1,IF(Nur_Zinsen=1,Fremdkapital,IF($A58&gt;=Laufzeit_FK,0,IF(Zins_FK=0,Fremdkapital*(1-$A58/Laufzeit_FK),MAX(0,Fremdkapital*(1+Zins_FK)^$A58-KD_FK_Jahr*((1+Zins_FK)^$A58-1)/Zins_FK)))),"")</f>
        <v/>
      </c>
      <c r="R58" s="57" t="str">
        <f aca="false">IF($B58=1,1/(1+Diskontsatz)^$A58,"")</f>
        <v/>
      </c>
      <c r="S58" s="54" t="str">
        <f aca="false">IF($B58=1,K58*R58,"")</f>
        <v/>
      </c>
      <c r="T58" s="18" t="str">
        <f aca="false">IF($B58=1,IF(K58&lt;0,$A58,""),"")</f>
        <v/>
      </c>
    </row>
    <row r="59" customFormat="false" ht="15" hidden="false" customHeight="false" outlineLevel="0" collapsed="false">
      <c r="A59" s="18" t="n">
        <f aca="false">A58+1</f>
        <v>55</v>
      </c>
      <c r="B59" s="18" t="n">
        <f aca="false">IF($A59&lt;=Horizont,1,0)</f>
        <v>0</v>
      </c>
      <c r="C59" s="20" t="str">
        <f aca="false">IF($B59=1,Miete*(1+Mietsteigerung)^($A59-1),"")</f>
        <v/>
      </c>
      <c r="D59" s="20" t="str">
        <f aca="false">IF($B59=1,Bewirtschaftung*(1+Kostensteigerung)^($A59-1),"")</f>
        <v/>
      </c>
      <c r="E59" s="19" t="str">
        <f aca="false">IF($B59=1,C59*Flaeche*12/1000000,"")</f>
        <v/>
      </c>
      <c r="F59" s="19" t="str">
        <f aca="false">IF($B59=1,D59*Flaeche*12/1000000,"")</f>
        <v/>
      </c>
      <c r="G59" s="19" t="str">
        <f aca="false">IF($B59=1,E59-F59,"")</f>
        <v/>
      </c>
      <c r="H59" s="19" t="str">
        <f aca="false">IF($B59=1,IF(OR(Nur_Zinsen=1,$A59&lt;=Laufzeit_EK),KD_EK_Jahr,0),"")</f>
        <v/>
      </c>
      <c r="I59" s="19" t="str">
        <f aca="false">IF($B59=1,IF(OR(Nur_Zinsen=1,$A59&lt;=Laufzeit_FK),KD_FK_Jahr,0),"")</f>
        <v/>
      </c>
      <c r="J59" s="19" t="str">
        <f aca="false">IF($B59=1,H59+I59,"")</f>
        <v/>
      </c>
      <c r="K59" s="54" t="str">
        <f aca="false">IF($B59=1,G59-J59,"")</f>
        <v/>
      </c>
      <c r="L59" s="55" t="str">
        <f aca="false">IF($B59=1,K59*1000000/Flaeche/12,"")</f>
        <v/>
      </c>
      <c r="M59" s="56" t="str">
        <f aca="false">IF($B59=1,K59*1000000/Wohnungen/12,"")</f>
        <v/>
      </c>
      <c r="N59" s="56" t="str">
        <f aca="false">IF($B59=1,N58+K59,"")</f>
        <v/>
      </c>
      <c r="O59" s="54" t="str">
        <f aca="false">IF($B59=1,G59-I59,"")</f>
        <v/>
      </c>
      <c r="P59" s="15" t="str">
        <f aca="false">IF($B59=1,IF(Nur_Zinsen=1,Eigenkapital,IF($A59&gt;=Laufzeit_EK,0,IF(Zins_EK=0,Eigenkapital*(1-$A59/Laufzeit_EK),MAX(0,Eigenkapital*(1+Zins_EK)^$A59-KD_EK_Jahr*((1+Zins_EK)^$A59-1)/Zins_EK)))),"")</f>
        <v/>
      </c>
      <c r="Q59" s="15" t="str">
        <f aca="false">IF($B59=1,IF(Nur_Zinsen=1,Fremdkapital,IF($A59&gt;=Laufzeit_FK,0,IF(Zins_FK=0,Fremdkapital*(1-$A59/Laufzeit_FK),MAX(0,Fremdkapital*(1+Zins_FK)^$A59-KD_FK_Jahr*((1+Zins_FK)^$A59-1)/Zins_FK)))),"")</f>
        <v/>
      </c>
      <c r="R59" s="57" t="str">
        <f aca="false">IF($B59=1,1/(1+Diskontsatz)^$A59,"")</f>
        <v/>
      </c>
      <c r="S59" s="54" t="str">
        <f aca="false">IF($B59=1,K59*R59,"")</f>
        <v/>
      </c>
      <c r="T59" s="18" t="str">
        <f aca="false">IF($B59=1,IF(K59&lt;0,$A59,""),"")</f>
        <v/>
      </c>
    </row>
    <row r="60" customFormat="false" ht="15" hidden="false" customHeight="false" outlineLevel="0" collapsed="false">
      <c r="A60" s="18" t="n">
        <f aca="false">A59+1</f>
        <v>56</v>
      </c>
      <c r="B60" s="18" t="n">
        <f aca="false">IF($A60&lt;=Horizont,1,0)</f>
        <v>0</v>
      </c>
      <c r="C60" s="20" t="str">
        <f aca="false">IF($B60=1,Miete*(1+Mietsteigerung)^($A60-1),"")</f>
        <v/>
      </c>
      <c r="D60" s="20" t="str">
        <f aca="false">IF($B60=1,Bewirtschaftung*(1+Kostensteigerung)^($A60-1),"")</f>
        <v/>
      </c>
      <c r="E60" s="19" t="str">
        <f aca="false">IF($B60=1,C60*Flaeche*12/1000000,"")</f>
        <v/>
      </c>
      <c r="F60" s="19" t="str">
        <f aca="false">IF($B60=1,D60*Flaeche*12/1000000,"")</f>
        <v/>
      </c>
      <c r="G60" s="19" t="str">
        <f aca="false">IF($B60=1,E60-F60,"")</f>
        <v/>
      </c>
      <c r="H60" s="19" t="str">
        <f aca="false">IF($B60=1,IF(OR(Nur_Zinsen=1,$A60&lt;=Laufzeit_EK),KD_EK_Jahr,0),"")</f>
        <v/>
      </c>
      <c r="I60" s="19" t="str">
        <f aca="false">IF($B60=1,IF(OR(Nur_Zinsen=1,$A60&lt;=Laufzeit_FK),KD_FK_Jahr,0),"")</f>
        <v/>
      </c>
      <c r="J60" s="19" t="str">
        <f aca="false">IF($B60=1,H60+I60,"")</f>
        <v/>
      </c>
      <c r="K60" s="54" t="str">
        <f aca="false">IF($B60=1,G60-J60,"")</f>
        <v/>
      </c>
      <c r="L60" s="55" t="str">
        <f aca="false">IF($B60=1,K60*1000000/Flaeche/12,"")</f>
        <v/>
      </c>
      <c r="M60" s="56" t="str">
        <f aca="false">IF($B60=1,K60*1000000/Wohnungen/12,"")</f>
        <v/>
      </c>
      <c r="N60" s="56" t="str">
        <f aca="false">IF($B60=1,N59+K60,"")</f>
        <v/>
      </c>
      <c r="O60" s="54" t="str">
        <f aca="false">IF($B60=1,G60-I60,"")</f>
        <v/>
      </c>
      <c r="P60" s="15" t="str">
        <f aca="false">IF($B60=1,IF(Nur_Zinsen=1,Eigenkapital,IF($A60&gt;=Laufzeit_EK,0,IF(Zins_EK=0,Eigenkapital*(1-$A60/Laufzeit_EK),MAX(0,Eigenkapital*(1+Zins_EK)^$A60-KD_EK_Jahr*((1+Zins_EK)^$A60-1)/Zins_EK)))),"")</f>
        <v/>
      </c>
      <c r="Q60" s="15" t="str">
        <f aca="false">IF($B60=1,IF(Nur_Zinsen=1,Fremdkapital,IF($A60&gt;=Laufzeit_FK,0,IF(Zins_FK=0,Fremdkapital*(1-$A60/Laufzeit_FK),MAX(0,Fremdkapital*(1+Zins_FK)^$A60-KD_FK_Jahr*((1+Zins_FK)^$A60-1)/Zins_FK)))),"")</f>
        <v/>
      </c>
      <c r="R60" s="57" t="str">
        <f aca="false">IF($B60=1,1/(1+Diskontsatz)^$A60,"")</f>
        <v/>
      </c>
      <c r="S60" s="54" t="str">
        <f aca="false">IF($B60=1,K60*R60,"")</f>
        <v/>
      </c>
      <c r="T60" s="18" t="str">
        <f aca="false">IF($B60=1,IF(K60&lt;0,$A60,""),"")</f>
        <v/>
      </c>
    </row>
    <row r="61" customFormat="false" ht="15" hidden="false" customHeight="false" outlineLevel="0" collapsed="false">
      <c r="A61" s="18" t="n">
        <f aca="false">A60+1</f>
        <v>57</v>
      </c>
      <c r="B61" s="18" t="n">
        <f aca="false">IF($A61&lt;=Horizont,1,0)</f>
        <v>0</v>
      </c>
      <c r="C61" s="20" t="str">
        <f aca="false">IF($B61=1,Miete*(1+Mietsteigerung)^($A61-1),"")</f>
        <v/>
      </c>
      <c r="D61" s="20" t="str">
        <f aca="false">IF($B61=1,Bewirtschaftung*(1+Kostensteigerung)^($A61-1),"")</f>
        <v/>
      </c>
      <c r="E61" s="19" t="str">
        <f aca="false">IF($B61=1,C61*Flaeche*12/1000000,"")</f>
        <v/>
      </c>
      <c r="F61" s="19" t="str">
        <f aca="false">IF($B61=1,D61*Flaeche*12/1000000,"")</f>
        <v/>
      </c>
      <c r="G61" s="19" t="str">
        <f aca="false">IF($B61=1,E61-F61,"")</f>
        <v/>
      </c>
      <c r="H61" s="19" t="str">
        <f aca="false">IF($B61=1,IF(OR(Nur_Zinsen=1,$A61&lt;=Laufzeit_EK),KD_EK_Jahr,0),"")</f>
        <v/>
      </c>
      <c r="I61" s="19" t="str">
        <f aca="false">IF($B61=1,IF(OR(Nur_Zinsen=1,$A61&lt;=Laufzeit_FK),KD_FK_Jahr,0),"")</f>
        <v/>
      </c>
      <c r="J61" s="19" t="str">
        <f aca="false">IF($B61=1,H61+I61,"")</f>
        <v/>
      </c>
      <c r="K61" s="54" t="str">
        <f aca="false">IF($B61=1,G61-J61,"")</f>
        <v/>
      </c>
      <c r="L61" s="55" t="str">
        <f aca="false">IF($B61=1,K61*1000000/Flaeche/12,"")</f>
        <v/>
      </c>
      <c r="M61" s="56" t="str">
        <f aca="false">IF($B61=1,K61*1000000/Wohnungen/12,"")</f>
        <v/>
      </c>
      <c r="N61" s="56" t="str">
        <f aca="false">IF($B61=1,N60+K61,"")</f>
        <v/>
      </c>
      <c r="O61" s="54" t="str">
        <f aca="false">IF($B61=1,G61-I61,"")</f>
        <v/>
      </c>
      <c r="P61" s="15" t="str">
        <f aca="false">IF($B61=1,IF(Nur_Zinsen=1,Eigenkapital,IF($A61&gt;=Laufzeit_EK,0,IF(Zins_EK=0,Eigenkapital*(1-$A61/Laufzeit_EK),MAX(0,Eigenkapital*(1+Zins_EK)^$A61-KD_EK_Jahr*((1+Zins_EK)^$A61-1)/Zins_EK)))),"")</f>
        <v/>
      </c>
      <c r="Q61" s="15" t="str">
        <f aca="false">IF($B61=1,IF(Nur_Zinsen=1,Fremdkapital,IF($A61&gt;=Laufzeit_FK,0,IF(Zins_FK=0,Fremdkapital*(1-$A61/Laufzeit_FK),MAX(0,Fremdkapital*(1+Zins_FK)^$A61-KD_FK_Jahr*((1+Zins_FK)^$A61-1)/Zins_FK)))),"")</f>
        <v/>
      </c>
      <c r="R61" s="57" t="str">
        <f aca="false">IF($B61=1,1/(1+Diskontsatz)^$A61,"")</f>
        <v/>
      </c>
      <c r="S61" s="54" t="str">
        <f aca="false">IF($B61=1,K61*R61,"")</f>
        <v/>
      </c>
      <c r="T61" s="18" t="str">
        <f aca="false">IF($B61=1,IF(K61&lt;0,$A61,""),"")</f>
        <v/>
      </c>
    </row>
    <row r="62" customFormat="false" ht="15" hidden="false" customHeight="false" outlineLevel="0" collapsed="false">
      <c r="A62" s="18" t="n">
        <f aca="false">A61+1</f>
        <v>58</v>
      </c>
      <c r="B62" s="18" t="n">
        <f aca="false">IF($A62&lt;=Horizont,1,0)</f>
        <v>0</v>
      </c>
      <c r="C62" s="20" t="str">
        <f aca="false">IF($B62=1,Miete*(1+Mietsteigerung)^($A62-1),"")</f>
        <v/>
      </c>
      <c r="D62" s="20" t="str">
        <f aca="false">IF($B62=1,Bewirtschaftung*(1+Kostensteigerung)^($A62-1),"")</f>
        <v/>
      </c>
      <c r="E62" s="19" t="str">
        <f aca="false">IF($B62=1,C62*Flaeche*12/1000000,"")</f>
        <v/>
      </c>
      <c r="F62" s="19" t="str">
        <f aca="false">IF($B62=1,D62*Flaeche*12/1000000,"")</f>
        <v/>
      </c>
      <c r="G62" s="19" t="str">
        <f aca="false">IF($B62=1,E62-F62,"")</f>
        <v/>
      </c>
      <c r="H62" s="19" t="str">
        <f aca="false">IF($B62=1,IF(OR(Nur_Zinsen=1,$A62&lt;=Laufzeit_EK),KD_EK_Jahr,0),"")</f>
        <v/>
      </c>
      <c r="I62" s="19" t="str">
        <f aca="false">IF($B62=1,IF(OR(Nur_Zinsen=1,$A62&lt;=Laufzeit_FK),KD_FK_Jahr,0),"")</f>
        <v/>
      </c>
      <c r="J62" s="19" t="str">
        <f aca="false">IF($B62=1,H62+I62,"")</f>
        <v/>
      </c>
      <c r="K62" s="54" t="str">
        <f aca="false">IF($B62=1,G62-J62,"")</f>
        <v/>
      </c>
      <c r="L62" s="55" t="str">
        <f aca="false">IF($B62=1,K62*1000000/Flaeche/12,"")</f>
        <v/>
      </c>
      <c r="M62" s="56" t="str">
        <f aca="false">IF($B62=1,K62*1000000/Wohnungen/12,"")</f>
        <v/>
      </c>
      <c r="N62" s="56" t="str">
        <f aca="false">IF($B62=1,N61+K62,"")</f>
        <v/>
      </c>
      <c r="O62" s="54" t="str">
        <f aca="false">IF($B62=1,G62-I62,"")</f>
        <v/>
      </c>
      <c r="P62" s="15" t="str">
        <f aca="false">IF($B62=1,IF(Nur_Zinsen=1,Eigenkapital,IF($A62&gt;=Laufzeit_EK,0,IF(Zins_EK=0,Eigenkapital*(1-$A62/Laufzeit_EK),MAX(0,Eigenkapital*(1+Zins_EK)^$A62-KD_EK_Jahr*((1+Zins_EK)^$A62-1)/Zins_EK)))),"")</f>
        <v/>
      </c>
      <c r="Q62" s="15" t="str">
        <f aca="false">IF($B62=1,IF(Nur_Zinsen=1,Fremdkapital,IF($A62&gt;=Laufzeit_FK,0,IF(Zins_FK=0,Fremdkapital*(1-$A62/Laufzeit_FK),MAX(0,Fremdkapital*(1+Zins_FK)^$A62-KD_FK_Jahr*((1+Zins_FK)^$A62-1)/Zins_FK)))),"")</f>
        <v/>
      </c>
      <c r="R62" s="57" t="str">
        <f aca="false">IF($B62=1,1/(1+Diskontsatz)^$A62,"")</f>
        <v/>
      </c>
      <c r="S62" s="54" t="str">
        <f aca="false">IF($B62=1,K62*R62,"")</f>
        <v/>
      </c>
      <c r="T62" s="18" t="str">
        <f aca="false">IF($B62=1,IF(K62&lt;0,$A62,""),"")</f>
        <v/>
      </c>
    </row>
    <row r="63" customFormat="false" ht="15" hidden="false" customHeight="false" outlineLevel="0" collapsed="false">
      <c r="A63" s="18" t="n">
        <f aca="false">A62+1</f>
        <v>59</v>
      </c>
      <c r="B63" s="18" t="n">
        <f aca="false">IF($A63&lt;=Horizont,1,0)</f>
        <v>0</v>
      </c>
      <c r="C63" s="20" t="str">
        <f aca="false">IF($B63=1,Miete*(1+Mietsteigerung)^($A63-1),"")</f>
        <v/>
      </c>
      <c r="D63" s="20" t="str">
        <f aca="false">IF($B63=1,Bewirtschaftung*(1+Kostensteigerung)^($A63-1),"")</f>
        <v/>
      </c>
      <c r="E63" s="19" t="str">
        <f aca="false">IF($B63=1,C63*Flaeche*12/1000000,"")</f>
        <v/>
      </c>
      <c r="F63" s="19" t="str">
        <f aca="false">IF($B63=1,D63*Flaeche*12/1000000,"")</f>
        <v/>
      </c>
      <c r="G63" s="19" t="str">
        <f aca="false">IF($B63=1,E63-F63,"")</f>
        <v/>
      </c>
      <c r="H63" s="19" t="str">
        <f aca="false">IF($B63=1,IF(OR(Nur_Zinsen=1,$A63&lt;=Laufzeit_EK),KD_EK_Jahr,0),"")</f>
        <v/>
      </c>
      <c r="I63" s="19" t="str">
        <f aca="false">IF($B63=1,IF(OR(Nur_Zinsen=1,$A63&lt;=Laufzeit_FK),KD_FK_Jahr,0),"")</f>
        <v/>
      </c>
      <c r="J63" s="19" t="str">
        <f aca="false">IF($B63=1,H63+I63,"")</f>
        <v/>
      </c>
      <c r="K63" s="54" t="str">
        <f aca="false">IF($B63=1,G63-J63,"")</f>
        <v/>
      </c>
      <c r="L63" s="55" t="str">
        <f aca="false">IF($B63=1,K63*1000000/Flaeche/12,"")</f>
        <v/>
      </c>
      <c r="M63" s="56" t="str">
        <f aca="false">IF($B63=1,K63*1000000/Wohnungen/12,"")</f>
        <v/>
      </c>
      <c r="N63" s="56" t="str">
        <f aca="false">IF($B63=1,N62+K63,"")</f>
        <v/>
      </c>
      <c r="O63" s="54" t="str">
        <f aca="false">IF($B63=1,G63-I63,"")</f>
        <v/>
      </c>
      <c r="P63" s="15" t="str">
        <f aca="false">IF($B63=1,IF(Nur_Zinsen=1,Eigenkapital,IF($A63&gt;=Laufzeit_EK,0,IF(Zins_EK=0,Eigenkapital*(1-$A63/Laufzeit_EK),MAX(0,Eigenkapital*(1+Zins_EK)^$A63-KD_EK_Jahr*((1+Zins_EK)^$A63-1)/Zins_EK)))),"")</f>
        <v/>
      </c>
      <c r="Q63" s="15" t="str">
        <f aca="false">IF($B63=1,IF(Nur_Zinsen=1,Fremdkapital,IF($A63&gt;=Laufzeit_FK,0,IF(Zins_FK=0,Fremdkapital*(1-$A63/Laufzeit_FK),MAX(0,Fremdkapital*(1+Zins_FK)^$A63-KD_FK_Jahr*((1+Zins_FK)^$A63-1)/Zins_FK)))),"")</f>
        <v/>
      </c>
      <c r="R63" s="57" t="str">
        <f aca="false">IF($B63=1,1/(1+Diskontsatz)^$A63,"")</f>
        <v/>
      </c>
      <c r="S63" s="54" t="str">
        <f aca="false">IF($B63=1,K63*R63,"")</f>
        <v/>
      </c>
      <c r="T63" s="18" t="str">
        <f aca="false">IF($B63=1,IF(K63&lt;0,$A63,""),"")</f>
        <v/>
      </c>
    </row>
    <row r="64" customFormat="false" ht="15" hidden="false" customHeight="false" outlineLevel="0" collapsed="false">
      <c r="A64" s="18" t="n">
        <f aca="false">A63+1</f>
        <v>60</v>
      </c>
      <c r="B64" s="18" t="n">
        <f aca="false">IF($A64&lt;=Horizont,1,0)</f>
        <v>0</v>
      </c>
      <c r="C64" s="20" t="str">
        <f aca="false">IF($B64=1,Miete*(1+Mietsteigerung)^($A64-1),"")</f>
        <v/>
      </c>
      <c r="D64" s="20" t="str">
        <f aca="false">IF($B64=1,Bewirtschaftung*(1+Kostensteigerung)^($A64-1),"")</f>
        <v/>
      </c>
      <c r="E64" s="19" t="str">
        <f aca="false">IF($B64=1,C64*Flaeche*12/1000000,"")</f>
        <v/>
      </c>
      <c r="F64" s="19" t="str">
        <f aca="false">IF($B64=1,D64*Flaeche*12/1000000,"")</f>
        <v/>
      </c>
      <c r="G64" s="19" t="str">
        <f aca="false">IF($B64=1,E64-F64,"")</f>
        <v/>
      </c>
      <c r="H64" s="19" t="str">
        <f aca="false">IF($B64=1,IF(OR(Nur_Zinsen=1,$A64&lt;=Laufzeit_EK),KD_EK_Jahr,0),"")</f>
        <v/>
      </c>
      <c r="I64" s="19" t="str">
        <f aca="false">IF($B64=1,IF(OR(Nur_Zinsen=1,$A64&lt;=Laufzeit_FK),KD_FK_Jahr,0),"")</f>
        <v/>
      </c>
      <c r="J64" s="19" t="str">
        <f aca="false">IF($B64=1,H64+I64,"")</f>
        <v/>
      </c>
      <c r="K64" s="54" t="str">
        <f aca="false">IF($B64=1,G64-J64,"")</f>
        <v/>
      </c>
      <c r="L64" s="55" t="str">
        <f aca="false">IF($B64=1,K64*1000000/Flaeche/12,"")</f>
        <v/>
      </c>
      <c r="M64" s="56" t="str">
        <f aca="false">IF($B64=1,K64*1000000/Wohnungen/12,"")</f>
        <v/>
      </c>
      <c r="N64" s="56" t="str">
        <f aca="false">IF($B64=1,N63+K64,"")</f>
        <v/>
      </c>
      <c r="O64" s="54" t="str">
        <f aca="false">IF($B64=1,G64-I64,"")</f>
        <v/>
      </c>
      <c r="P64" s="15" t="str">
        <f aca="false">IF($B64=1,IF(Nur_Zinsen=1,Eigenkapital,IF($A64&gt;=Laufzeit_EK,0,IF(Zins_EK=0,Eigenkapital*(1-$A64/Laufzeit_EK),MAX(0,Eigenkapital*(1+Zins_EK)^$A64-KD_EK_Jahr*((1+Zins_EK)^$A64-1)/Zins_EK)))),"")</f>
        <v/>
      </c>
      <c r="Q64" s="15" t="str">
        <f aca="false">IF($B64=1,IF(Nur_Zinsen=1,Fremdkapital,IF($A64&gt;=Laufzeit_FK,0,IF(Zins_FK=0,Fremdkapital*(1-$A64/Laufzeit_FK),MAX(0,Fremdkapital*(1+Zins_FK)^$A64-KD_FK_Jahr*((1+Zins_FK)^$A64-1)/Zins_FK)))),"")</f>
        <v/>
      </c>
      <c r="R64" s="57" t="str">
        <f aca="false">IF($B64=1,1/(1+Diskontsatz)^$A64,"")</f>
        <v/>
      </c>
      <c r="S64" s="54" t="str">
        <f aca="false">IF($B64=1,K64*R64,"")</f>
        <v/>
      </c>
      <c r="T64" s="18" t="str">
        <f aca="false">IF($B64=1,IF(K64&lt;0,$A64,""),"")</f>
        <v/>
      </c>
    </row>
    <row r="65" customFormat="false" ht="15" hidden="false" customHeight="false" outlineLevel="0" collapsed="false">
      <c r="A65" s="18" t="n">
        <f aca="false">A64+1</f>
        <v>61</v>
      </c>
      <c r="B65" s="18" t="n">
        <f aca="false">IF($A65&lt;=Horizont,1,0)</f>
        <v>0</v>
      </c>
      <c r="C65" s="20" t="str">
        <f aca="false">IF($B65=1,Miete*(1+Mietsteigerung)^($A65-1),"")</f>
        <v/>
      </c>
      <c r="D65" s="20" t="str">
        <f aca="false">IF($B65=1,Bewirtschaftung*(1+Kostensteigerung)^($A65-1),"")</f>
        <v/>
      </c>
      <c r="E65" s="19" t="str">
        <f aca="false">IF($B65=1,C65*Flaeche*12/1000000,"")</f>
        <v/>
      </c>
      <c r="F65" s="19" t="str">
        <f aca="false">IF($B65=1,D65*Flaeche*12/1000000,"")</f>
        <v/>
      </c>
      <c r="G65" s="19" t="str">
        <f aca="false">IF($B65=1,E65-F65,"")</f>
        <v/>
      </c>
      <c r="H65" s="19" t="str">
        <f aca="false">IF($B65=1,IF(OR(Nur_Zinsen=1,$A65&lt;=Laufzeit_EK),KD_EK_Jahr,0),"")</f>
        <v/>
      </c>
      <c r="I65" s="19" t="str">
        <f aca="false">IF($B65=1,IF(OR(Nur_Zinsen=1,$A65&lt;=Laufzeit_FK),KD_FK_Jahr,0),"")</f>
        <v/>
      </c>
      <c r="J65" s="19" t="str">
        <f aca="false">IF($B65=1,H65+I65,"")</f>
        <v/>
      </c>
      <c r="K65" s="54" t="str">
        <f aca="false">IF($B65=1,G65-J65,"")</f>
        <v/>
      </c>
      <c r="L65" s="55" t="str">
        <f aca="false">IF($B65=1,K65*1000000/Flaeche/12,"")</f>
        <v/>
      </c>
      <c r="M65" s="56" t="str">
        <f aca="false">IF($B65=1,K65*1000000/Wohnungen/12,"")</f>
        <v/>
      </c>
      <c r="N65" s="56" t="str">
        <f aca="false">IF($B65=1,N64+K65,"")</f>
        <v/>
      </c>
      <c r="O65" s="54" t="str">
        <f aca="false">IF($B65=1,G65-I65,"")</f>
        <v/>
      </c>
      <c r="P65" s="15" t="str">
        <f aca="false">IF($B65=1,IF(Nur_Zinsen=1,Eigenkapital,IF($A65&gt;=Laufzeit_EK,0,IF(Zins_EK=0,Eigenkapital*(1-$A65/Laufzeit_EK),MAX(0,Eigenkapital*(1+Zins_EK)^$A65-KD_EK_Jahr*((1+Zins_EK)^$A65-1)/Zins_EK)))),"")</f>
        <v/>
      </c>
      <c r="Q65" s="15" t="str">
        <f aca="false">IF($B65=1,IF(Nur_Zinsen=1,Fremdkapital,IF($A65&gt;=Laufzeit_FK,0,IF(Zins_FK=0,Fremdkapital*(1-$A65/Laufzeit_FK),MAX(0,Fremdkapital*(1+Zins_FK)^$A65-KD_FK_Jahr*((1+Zins_FK)^$A65-1)/Zins_FK)))),"")</f>
        <v/>
      </c>
      <c r="R65" s="57" t="str">
        <f aca="false">IF($B65=1,1/(1+Diskontsatz)^$A65,"")</f>
        <v/>
      </c>
      <c r="S65" s="54" t="str">
        <f aca="false">IF($B65=1,K65*R65,"")</f>
        <v/>
      </c>
      <c r="T65" s="18" t="str">
        <f aca="false">IF($B65=1,IF(K65&lt;0,$A65,""),"")</f>
        <v/>
      </c>
    </row>
    <row r="66" customFormat="false" ht="15" hidden="false" customHeight="false" outlineLevel="0" collapsed="false">
      <c r="A66" s="18" t="n">
        <f aca="false">A65+1</f>
        <v>62</v>
      </c>
      <c r="B66" s="18" t="n">
        <f aca="false">IF($A66&lt;=Horizont,1,0)</f>
        <v>0</v>
      </c>
      <c r="C66" s="20" t="str">
        <f aca="false">IF($B66=1,Miete*(1+Mietsteigerung)^($A66-1),"")</f>
        <v/>
      </c>
      <c r="D66" s="20" t="str">
        <f aca="false">IF($B66=1,Bewirtschaftung*(1+Kostensteigerung)^($A66-1),"")</f>
        <v/>
      </c>
      <c r="E66" s="19" t="str">
        <f aca="false">IF($B66=1,C66*Flaeche*12/1000000,"")</f>
        <v/>
      </c>
      <c r="F66" s="19" t="str">
        <f aca="false">IF($B66=1,D66*Flaeche*12/1000000,"")</f>
        <v/>
      </c>
      <c r="G66" s="19" t="str">
        <f aca="false">IF($B66=1,E66-F66,"")</f>
        <v/>
      </c>
      <c r="H66" s="19" t="str">
        <f aca="false">IF($B66=1,IF(OR(Nur_Zinsen=1,$A66&lt;=Laufzeit_EK),KD_EK_Jahr,0),"")</f>
        <v/>
      </c>
      <c r="I66" s="19" t="str">
        <f aca="false">IF($B66=1,IF(OR(Nur_Zinsen=1,$A66&lt;=Laufzeit_FK),KD_FK_Jahr,0),"")</f>
        <v/>
      </c>
      <c r="J66" s="19" t="str">
        <f aca="false">IF($B66=1,H66+I66,"")</f>
        <v/>
      </c>
      <c r="K66" s="54" t="str">
        <f aca="false">IF($B66=1,G66-J66,"")</f>
        <v/>
      </c>
      <c r="L66" s="55" t="str">
        <f aca="false">IF($B66=1,K66*1000000/Flaeche/12,"")</f>
        <v/>
      </c>
      <c r="M66" s="56" t="str">
        <f aca="false">IF($B66=1,K66*1000000/Wohnungen/12,"")</f>
        <v/>
      </c>
      <c r="N66" s="56" t="str">
        <f aca="false">IF($B66=1,N65+K66,"")</f>
        <v/>
      </c>
      <c r="O66" s="54" t="str">
        <f aca="false">IF($B66=1,G66-I66,"")</f>
        <v/>
      </c>
      <c r="P66" s="15" t="str">
        <f aca="false">IF($B66=1,IF(Nur_Zinsen=1,Eigenkapital,IF($A66&gt;=Laufzeit_EK,0,IF(Zins_EK=0,Eigenkapital*(1-$A66/Laufzeit_EK),MAX(0,Eigenkapital*(1+Zins_EK)^$A66-KD_EK_Jahr*((1+Zins_EK)^$A66-1)/Zins_EK)))),"")</f>
        <v/>
      </c>
      <c r="Q66" s="15" t="str">
        <f aca="false">IF($B66=1,IF(Nur_Zinsen=1,Fremdkapital,IF($A66&gt;=Laufzeit_FK,0,IF(Zins_FK=0,Fremdkapital*(1-$A66/Laufzeit_FK),MAX(0,Fremdkapital*(1+Zins_FK)^$A66-KD_FK_Jahr*((1+Zins_FK)^$A66-1)/Zins_FK)))),"")</f>
        <v/>
      </c>
      <c r="R66" s="57" t="str">
        <f aca="false">IF($B66=1,1/(1+Diskontsatz)^$A66,"")</f>
        <v/>
      </c>
      <c r="S66" s="54" t="str">
        <f aca="false">IF($B66=1,K66*R66,"")</f>
        <v/>
      </c>
      <c r="T66" s="18" t="str">
        <f aca="false">IF($B66=1,IF(K66&lt;0,$A66,""),"")</f>
        <v/>
      </c>
    </row>
    <row r="67" customFormat="false" ht="15" hidden="false" customHeight="false" outlineLevel="0" collapsed="false">
      <c r="A67" s="18" t="n">
        <f aca="false">A66+1</f>
        <v>63</v>
      </c>
      <c r="B67" s="18" t="n">
        <f aca="false">IF($A67&lt;=Horizont,1,0)</f>
        <v>0</v>
      </c>
      <c r="C67" s="20" t="str">
        <f aca="false">IF($B67=1,Miete*(1+Mietsteigerung)^($A67-1),"")</f>
        <v/>
      </c>
      <c r="D67" s="20" t="str">
        <f aca="false">IF($B67=1,Bewirtschaftung*(1+Kostensteigerung)^($A67-1),"")</f>
        <v/>
      </c>
      <c r="E67" s="19" t="str">
        <f aca="false">IF($B67=1,C67*Flaeche*12/1000000,"")</f>
        <v/>
      </c>
      <c r="F67" s="19" t="str">
        <f aca="false">IF($B67=1,D67*Flaeche*12/1000000,"")</f>
        <v/>
      </c>
      <c r="G67" s="19" t="str">
        <f aca="false">IF($B67=1,E67-F67,"")</f>
        <v/>
      </c>
      <c r="H67" s="19" t="str">
        <f aca="false">IF($B67=1,IF(OR(Nur_Zinsen=1,$A67&lt;=Laufzeit_EK),KD_EK_Jahr,0),"")</f>
        <v/>
      </c>
      <c r="I67" s="19" t="str">
        <f aca="false">IF($B67=1,IF(OR(Nur_Zinsen=1,$A67&lt;=Laufzeit_FK),KD_FK_Jahr,0),"")</f>
        <v/>
      </c>
      <c r="J67" s="19" t="str">
        <f aca="false">IF($B67=1,H67+I67,"")</f>
        <v/>
      </c>
      <c r="K67" s="54" t="str">
        <f aca="false">IF($B67=1,G67-J67,"")</f>
        <v/>
      </c>
      <c r="L67" s="55" t="str">
        <f aca="false">IF($B67=1,K67*1000000/Flaeche/12,"")</f>
        <v/>
      </c>
      <c r="M67" s="56" t="str">
        <f aca="false">IF($B67=1,K67*1000000/Wohnungen/12,"")</f>
        <v/>
      </c>
      <c r="N67" s="56" t="str">
        <f aca="false">IF($B67=1,N66+K67,"")</f>
        <v/>
      </c>
      <c r="O67" s="54" t="str">
        <f aca="false">IF($B67=1,G67-I67,"")</f>
        <v/>
      </c>
      <c r="P67" s="15" t="str">
        <f aca="false">IF($B67=1,IF(Nur_Zinsen=1,Eigenkapital,IF($A67&gt;=Laufzeit_EK,0,IF(Zins_EK=0,Eigenkapital*(1-$A67/Laufzeit_EK),MAX(0,Eigenkapital*(1+Zins_EK)^$A67-KD_EK_Jahr*((1+Zins_EK)^$A67-1)/Zins_EK)))),"")</f>
        <v/>
      </c>
      <c r="Q67" s="15" t="str">
        <f aca="false">IF($B67=1,IF(Nur_Zinsen=1,Fremdkapital,IF($A67&gt;=Laufzeit_FK,0,IF(Zins_FK=0,Fremdkapital*(1-$A67/Laufzeit_FK),MAX(0,Fremdkapital*(1+Zins_FK)^$A67-KD_FK_Jahr*((1+Zins_FK)^$A67-1)/Zins_FK)))),"")</f>
        <v/>
      </c>
      <c r="R67" s="57" t="str">
        <f aca="false">IF($B67=1,1/(1+Diskontsatz)^$A67,"")</f>
        <v/>
      </c>
      <c r="S67" s="54" t="str">
        <f aca="false">IF($B67=1,K67*R67,"")</f>
        <v/>
      </c>
      <c r="T67" s="18" t="str">
        <f aca="false">IF($B67=1,IF(K67&lt;0,$A67,""),"")</f>
        <v/>
      </c>
    </row>
    <row r="68" customFormat="false" ht="15" hidden="false" customHeight="false" outlineLevel="0" collapsed="false">
      <c r="A68" s="18" t="n">
        <f aca="false">A67+1</f>
        <v>64</v>
      </c>
      <c r="B68" s="18" t="n">
        <f aca="false">IF($A68&lt;=Horizont,1,0)</f>
        <v>0</v>
      </c>
      <c r="C68" s="20" t="str">
        <f aca="false">IF($B68=1,Miete*(1+Mietsteigerung)^($A68-1),"")</f>
        <v/>
      </c>
      <c r="D68" s="20" t="str">
        <f aca="false">IF($B68=1,Bewirtschaftung*(1+Kostensteigerung)^($A68-1),"")</f>
        <v/>
      </c>
      <c r="E68" s="19" t="str">
        <f aca="false">IF($B68=1,C68*Flaeche*12/1000000,"")</f>
        <v/>
      </c>
      <c r="F68" s="19" t="str">
        <f aca="false">IF($B68=1,D68*Flaeche*12/1000000,"")</f>
        <v/>
      </c>
      <c r="G68" s="19" t="str">
        <f aca="false">IF($B68=1,E68-F68,"")</f>
        <v/>
      </c>
      <c r="H68" s="19" t="str">
        <f aca="false">IF($B68=1,IF(OR(Nur_Zinsen=1,$A68&lt;=Laufzeit_EK),KD_EK_Jahr,0),"")</f>
        <v/>
      </c>
      <c r="I68" s="19" t="str">
        <f aca="false">IF($B68=1,IF(OR(Nur_Zinsen=1,$A68&lt;=Laufzeit_FK),KD_FK_Jahr,0),"")</f>
        <v/>
      </c>
      <c r="J68" s="19" t="str">
        <f aca="false">IF($B68=1,H68+I68,"")</f>
        <v/>
      </c>
      <c r="K68" s="54" t="str">
        <f aca="false">IF($B68=1,G68-J68,"")</f>
        <v/>
      </c>
      <c r="L68" s="55" t="str">
        <f aca="false">IF($B68=1,K68*1000000/Flaeche/12,"")</f>
        <v/>
      </c>
      <c r="M68" s="56" t="str">
        <f aca="false">IF($B68=1,K68*1000000/Wohnungen/12,"")</f>
        <v/>
      </c>
      <c r="N68" s="56" t="str">
        <f aca="false">IF($B68=1,N67+K68,"")</f>
        <v/>
      </c>
      <c r="O68" s="54" t="str">
        <f aca="false">IF($B68=1,G68-I68,"")</f>
        <v/>
      </c>
      <c r="P68" s="15" t="str">
        <f aca="false">IF($B68=1,IF(Nur_Zinsen=1,Eigenkapital,IF($A68&gt;=Laufzeit_EK,0,IF(Zins_EK=0,Eigenkapital*(1-$A68/Laufzeit_EK),MAX(0,Eigenkapital*(1+Zins_EK)^$A68-KD_EK_Jahr*((1+Zins_EK)^$A68-1)/Zins_EK)))),"")</f>
        <v/>
      </c>
      <c r="Q68" s="15" t="str">
        <f aca="false">IF($B68=1,IF(Nur_Zinsen=1,Fremdkapital,IF($A68&gt;=Laufzeit_FK,0,IF(Zins_FK=0,Fremdkapital*(1-$A68/Laufzeit_FK),MAX(0,Fremdkapital*(1+Zins_FK)^$A68-KD_FK_Jahr*((1+Zins_FK)^$A68-1)/Zins_FK)))),"")</f>
        <v/>
      </c>
      <c r="R68" s="57" t="str">
        <f aca="false">IF($B68=1,1/(1+Diskontsatz)^$A68,"")</f>
        <v/>
      </c>
      <c r="S68" s="54" t="str">
        <f aca="false">IF($B68=1,K68*R68,"")</f>
        <v/>
      </c>
      <c r="T68" s="18" t="str">
        <f aca="false">IF($B68=1,IF(K68&lt;0,$A68,""),"")</f>
        <v/>
      </c>
    </row>
    <row r="69" customFormat="false" ht="15" hidden="false" customHeight="false" outlineLevel="0" collapsed="false">
      <c r="A69" s="18" t="n">
        <f aca="false">A68+1</f>
        <v>65</v>
      </c>
      <c r="B69" s="18" t="n">
        <f aca="false">IF($A69&lt;=Horizont,1,0)</f>
        <v>0</v>
      </c>
      <c r="C69" s="20" t="str">
        <f aca="false">IF($B69=1,Miete*(1+Mietsteigerung)^($A69-1),"")</f>
        <v/>
      </c>
      <c r="D69" s="20" t="str">
        <f aca="false">IF($B69=1,Bewirtschaftung*(1+Kostensteigerung)^($A69-1),"")</f>
        <v/>
      </c>
      <c r="E69" s="19" t="str">
        <f aca="false">IF($B69=1,C69*Flaeche*12/1000000,"")</f>
        <v/>
      </c>
      <c r="F69" s="19" t="str">
        <f aca="false">IF($B69=1,D69*Flaeche*12/1000000,"")</f>
        <v/>
      </c>
      <c r="G69" s="19" t="str">
        <f aca="false">IF($B69=1,E69-F69,"")</f>
        <v/>
      </c>
      <c r="H69" s="19" t="str">
        <f aca="false">IF($B69=1,IF(OR(Nur_Zinsen=1,$A69&lt;=Laufzeit_EK),KD_EK_Jahr,0),"")</f>
        <v/>
      </c>
      <c r="I69" s="19" t="str">
        <f aca="false">IF($B69=1,IF(OR(Nur_Zinsen=1,$A69&lt;=Laufzeit_FK),KD_FK_Jahr,0),"")</f>
        <v/>
      </c>
      <c r="J69" s="19" t="str">
        <f aca="false">IF($B69=1,H69+I69,"")</f>
        <v/>
      </c>
      <c r="K69" s="54" t="str">
        <f aca="false">IF($B69=1,G69-J69,"")</f>
        <v/>
      </c>
      <c r="L69" s="55" t="str">
        <f aca="false">IF($B69=1,K69*1000000/Flaeche/12,"")</f>
        <v/>
      </c>
      <c r="M69" s="56" t="str">
        <f aca="false">IF($B69=1,K69*1000000/Wohnungen/12,"")</f>
        <v/>
      </c>
      <c r="N69" s="56" t="str">
        <f aca="false">IF($B69=1,N68+K69,"")</f>
        <v/>
      </c>
      <c r="O69" s="54" t="str">
        <f aca="false">IF($B69=1,G69-I69,"")</f>
        <v/>
      </c>
      <c r="P69" s="15" t="str">
        <f aca="false">IF($B69=1,IF(Nur_Zinsen=1,Eigenkapital,IF($A69&gt;=Laufzeit_EK,0,IF(Zins_EK=0,Eigenkapital*(1-$A69/Laufzeit_EK),MAX(0,Eigenkapital*(1+Zins_EK)^$A69-KD_EK_Jahr*((1+Zins_EK)^$A69-1)/Zins_EK)))),"")</f>
        <v/>
      </c>
      <c r="Q69" s="15" t="str">
        <f aca="false">IF($B69=1,IF(Nur_Zinsen=1,Fremdkapital,IF($A69&gt;=Laufzeit_FK,0,IF(Zins_FK=0,Fremdkapital*(1-$A69/Laufzeit_FK),MAX(0,Fremdkapital*(1+Zins_FK)^$A69-KD_FK_Jahr*((1+Zins_FK)^$A69-1)/Zins_FK)))),"")</f>
        <v/>
      </c>
      <c r="R69" s="57" t="str">
        <f aca="false">IF($B69=1,1/(1+Diskontsatz)^$A69,"")</f>
        <v/>
      </c>
      <c r="S69" s="54" t="str">
        <f aca="false">IF($B69=1,K69*R69,"")</f>
        <v/>
      </c>
      <c r="T69" s="18" t="str">
        <f aca="false">IF($B69=1,IF(K69&lt;0,$A69,""),"")</f>
        <v/>
      </c>
    </row>
    <row r="70" customFormat="false" ht="15" hidden="false" customHeight="false" outlineLevel="0" collapsed="false">
      <c r="A70" s="18" t="n">
        <f aca="false">A69+1</f>
        <v>66</v>
      </c>
      <c r="B70" s="18" t="n">
        <f aca="false">IF($A70&lt;=Horizont,1,0)</f>
        <v>0</v>
      </c>
      <c r="C70" s="20" t="str">
        <f aca="false">IF($B70=1,Miete*(1+Mietsteigerung)^($A70-1),"")</f>
        <v/>
      </c>
      <c r="D70" s="20" t="str">
        <f aca="false">IF($B70=1,Bewirtschaftung*(1+Kostensteigerung)^($A70-1),"")</f>
        <v/>
      </c>
      <c r="E70" s="19" t="str">
        <f aca="false">IF($B70=1,C70*Flaeche*12/1000000,"")</f>
        <v/>
      </c>
      <c r="F70" s="19" t="str">
        <f aca="false">IF($B70=1,D70*Flaeche*12/1000000,"")</f>
        <v/>
      </c>
      <c r="G70" s="19" t="str">
        <f aca="false">IF($B70=1,E70-F70,"")</f>
        <v/>
      </c>
      <c r="H70" s="19" t="str">
        <f aca="false">IF($B70=1,IF(OR(Nur_Zinsen=1,$A70&lt;=Laufzeit_EK),KD_EK_Jahr,0),"")</f>
        <v/>
      </c>
      <c r="I70" s="19" t="str">
        <f aca="false">IF($B70=1,IF(OR(Nur_Zinsen=1,$A70&lt;=Laufzeit_FK),KD_FK_Jahr,0),"")</f>
        <v/>
      </c>
      <c r="J70" s="19" t="str">
        <f aca="false">IF($B70=1,H70+I70,"")</f>
        <v/>
      </c>
      <c r="K70" s="54" t="str">
        <f aca="false">IF($B70=1,G70-J70,"")</f>
        <v/>
      </c>
      <c r="L70" s="55" t="str">
        <f aca="false">IF($B70=1,K70*1000000/Flaeche/12,"")</f>
        <v/>
      </c>
      <c r="M70" s="56" t="str">
        <f aca="false">IF($B70=1,K70*1000000/Wohnungen/12,"")</f>
        <v/>
      </c>
      <c r="N70" s="56" t="str">
        <f aca="false">IF($B70=1,N69+K70,"")</f>
        <v/>
      </c>
      <c r="O70" s="54" t="str">
        <f aca="false">IF($B70=1,G70-I70,"")</f>
        <v/>
      </c>
      <c r="P70" s="15" t="str">
        <f aca="false">IF($B70=1,IF(Nur_Zinsen=1,Eigenkapital,IF($A70&gt;=Laufzeit_EK,0,IF(Zins_EK=0,Eigenkapital*(1-$A70/Laufzeit_EK),MAX(0,Eigenkapital*(1+Zins_EK)^$A70-KD_EK_Jahr*((1+Zins_EK)^$A70-1)/Zins_EK)))),"")</f>
        <v/>
      </c>
      <c r="Q70" s="15" t="str">
        <f aca="false">IF($B70=1,IF(Nur_Zinsen=1,Fremdkapital,IF($A70&gt;=Laufzeit_FK,0,IF(Zins_FK=0,Fremdkapital*(1-$A70/Laufzeit_FK),MAX(0,Fremdkapital*(1+Zins_FK)^$A70-KD_FK_Jahr*((1+Zins_FK)^$A70-1)/Zins_FK)))),"")</f>
        <v/>
      </c>
      <c r="R70" s="57" t="str">
        <f aca="false">IF($B70=1,1/(1+Diskontsatz)^$A70,"")</f>
        <v/>
      </c>
      <c r="S70" s="54" t="str">
        <f aca="false">IF($B70=1,K70*R70,"")</f>
        <v/>
      </c>
      <c r="T70" s="18" t="str">
        <f aca="false">IF($B70=1,IF(K70&lt;0,$A70,""),"")</f>
        <v/>
      </c>
    </row>
    <row r="71" customFormat="false" ht="15" hidden="false" customHeight="false" outlineLevel="0" collapsed="false">
      <c r="A71" s="18" t="n">
        <f aca="false">A70+1</f>
        <v>67</v>
      </c>
      <c r="B71" s="18" t="n">
        <f aca="false">IF($A71&lt;=Horizont,1,0)</f>
        <v>0</v>
      </c>
      <c r="C71" s="20" t="str">
        <f aca="false">IF($B71=1,Miete*(1+Mietsteigerung)^($A71-1),"")</f>
        <v/>
      </c>
      <c r="D71" s="20" t="str">
        <f aca="false">IF($B71=1,Bewirtschaftung*(1+Kostensteigerung)^($A71-1),"")</f>
        <v/>
      </c>
      <c r="E71" s="19" t="str">
        <f aca="false">IF($B71=1,C71*Flaeche*12/1000000,"")</f>
        <v/>
      </c>
      <c r="F71" s="19" t="str">
        <f aca="false">IF($B71=1,D71*Flaeche*12/1000000,"")</f>
        <v/>
      </c>
      <c r="G71" s="19" t="str">
        <f aca="false">IF($B71=1,E71-F71,"")</f>
        <v/>
      </c>
      <c r="H71" s="19" t="str">
        <f aca="false">IF($B71=1,IF(OR(Nur_Zinsen=1,$A71&lt;=Laufzeit_EK),KD_EK_Jahr,0),"")</f>
        <v/>
      </c>
      <c r="I71" s="19" t="str">
        <f aca="false">IF($B71=1,IF(OR(Nur_Zinsen=1,$A71&lt;=Laufzeit_FK),KD_FK_Jahr,0),"")</f>
        <v/>
      </c>
      <c r="J71" s="19" t="str">
        <f aca="false">IF($B71=1,H71+I71,"")</f>
        <v/>
      </c>
      <c r="K71" s="54" t="str">
        <f aca="false">IF($B71=1,G71-J71,"")</f>
        <v/>
      </c>
      <c r="L71" s="55" t="str">
        <f aca="false">IF($B71=1,K71*1000000/Flaeche/12,"")</f>
        <v/>
      </c>
      <c r="M71" s="56" t="str">
        <f aca="false">IF($B71=1,K71*1000000/Wohnungen/12,"")</f>
        <v/>
      </c>
      <c r="N71" s="56" t="str">
        <f aca="false">IF($B71=1,N70+K71,"")</f>
        <v/>
      </c>
      <c r="O71" s="54" t="str">
        <f aca="false">IF($B71=1,G71-I71,"")</f>
        <v/>
      </c>
      <c r="P71" s="15" t="str">
        <f aca="false">IF($B71=1,IF(Nur_Zinsen=1,Eigenkapital,IF($A71&gt;=Laufzeit_EK,0,IF(Zins_EK=0,Eigenkapital*(1-$A71/Laufzeit_EK),MAX(0,Eigenkapital*(1+Zins_EK)^$A71-KD_EK_Jahr*((1+Zins_EK)^$A71-1)/Zins_EK)))),"")</f>
        <v/>
      </c>
      <c r="Q71" s="15" t="str">
        <f aca="false">IF($B71=1,IF(Nur_Zinsen=1,Fremdkapital,IF($A71&gt;=Laufzeit_FK,0,IF(Zins_FK=0,Fremdkapital*(1-$A71/Laufzeit_FK),MAX(0,Fremdkapital*(1+Zins_FK)^$A71-KD_FK_Jahr*((1+Zins_FK)^$A71-1)/Zins_FK)))),"")</f>
        <v/>
      </c>
      <c r="R71" s="57" t="str">
        <f aca="false">IF($B71=1,1/(1+Diskontsatz)^$A71,"")</f>
        <v/>
      </c>
      <c r="S71" s="54" t="str">
        <f aca="false">IF($B71=1,K71*R71,"")</f>
        <v/>
      </c>
      <c r="T71" s="18" t="str">
        <f aca="false">IF($B71=1,IF(K71&lt;0,$A71,""),"")</f>
        <v/>
      </c>
    </row>
    <row r="72" customFormat="false" ht="15" hidden="false" customHeight="false" outlineLevel="0" collapsed="false">
      <c r="A72" s="18" t="n">
        <f aca="false">A71+1</f>
        <v>68</v>
      </c>
      <c r="B72" s="18" t="n">
        <f aca="false">IF($A72&lt;=Horizont,1,0)</f>
        <v>0</v>
      </c>
      <c r="C72" s="20" t="str">
        <f aca="false">IF($B72=1,Miete*(1+Mietsteigerung)^($A72-1),"")</f>
        <v/>
      </c>
      <c r="D72" s="20" t="str">
        <f aca="false">IF($B72=1,Bewirtschaftung*(1+Kostensteigerung)^($A72-1),"")</f>
        <v/>
      </c>
      <c r="E72" s="19" t="str">
        <f aca="false">IF($B72=1,C72*Flaeche*12/1000000,"")</f>
        <v/>
      </c>
      <c r="F72" s="19" t="str">
        <f aca="false">IF($B72=1,D72*Flaeche*12/1000000,"")</f>
        <v/>
      </c>
      <c r="G72" s="19" t="str">
        <f aca="false">IF($B72=1,E72-F72,"")</f>
        <v/>
      </c>
      <c r="H72" s="19" t="str">
        <f aca="false">IF($B72=1,IF(OR(Nur_Zinsen=1,$A72&lt;=Laufzeit_EK),KD_EK_Jahr,0),"")</f>
        <v/>
      </c>
      <c r="I72" s="19" t="str">
        <f aca="false">IF($B72=1,IF(OR(Nur_Zinsen=1,$A72&lt;=Laufzeit_FK),KD_FK_Jahr,0),"")</f>
        <v/>
      </c>
      <c r="J72" s="19" t="str">
        <f aca="false">IF($B72=1,H72+I72,"")</f>
        <v/>
      </c>
      <c r="K72" s="54" t="str">
        <f aca="false">IF($B72=1,G72-J72,"")</f>
        <v/>
      </c>
      <c r="L72" s="55" t="str">
        <f aca="false">IF($B72=1,K72*1000000/Flaeche/12,"")</f>
        <v/>
      </c>
      <c r="M72" s="56" t="str">
        <f aca="false">IF($B72=1,K72*1000000/Wohnungen/12,"")</f>
        <v/>
      </c>
      <c r="N72" s="56" t="str">
        <f aca="false">IF($B72=1,N71+K72,"")</f>
        <v/>
      </c>
      <c r="O72" s="54" t="str">
        <f aca="false">IF($B72=1,G72-I72,"")</f>
        <v/>
      </c>
      <c r="P72" s="15" t="str">
        <f aca="false">IF($B72=1,IF(Nur_Zinsen=1,Eigenkapital,IF($A72&gt;=Laufzeit_EK,0,IF(Zins_EK=0,Eigenkapital*(1-$A72/Laufzeit_EK),MAX(0,Eigenkapital*(1+Zins_EK)^$A72-KD_EK_Jahr*((1+Zins_EK)^$A72-1)/Zins_EK)))),"")</f>
        <v/>
      </c>
      <c r="Q72" s="15" t="str">
        <f aca="false">IF($B72=1,IF(Nur_Zinsen=1,Fremdkapital,IF($A72&gt;=Laufzeit_FK,0,IF(Zins_FK=0,Fremdkapital*(1-$A72/Laufzeit_FK),MAX(0,Fremdkapital*(1+Zins_FK)^$A72-KD_FK_Jahr*((1+Zins_FK)^$A72-1)/Zins_FK)))),"")</f>
        <v/>
      </c>
      <c r="R72" s="57" t="str">
        <f aca="false">IF($B72=1,1/(1+Diskontsatz)^$A72,"")</f>
        <v/>
      </c>
      <c r="S72" s="54" t="str">
        <f aca="false">IF($B72=1,K72*R72,"")</f>
        <v/>
      </c>
      <c r="T72" s="18" t="str">
        <f aca="false">IF($B72=1,IF(K72&lt;0,$A72,""),"")</f>
        <v/>
      </c>
    </row>
    <row r="73" customFormat="false" ht="15" hidden="false" customHeight="false" outlineLevel="0" collapsed="false">
      <c r="A73" s="18" t="n">
        <f aca="false">A72+1</f>
        <v>69</v>
      </c>
      <c r="B73" s="18" t="n">
        <f aca="false">IF($A73&lt;=Horizont,1,0)</f>
        <v>0</v>
      </c>
      <c r="C73" s="20" t="str">
        <f aca="false">IF($B73=1,Miete*(1+Mietsteigerung)^($A73-1),"")</f>
        <v/>
      </c>
      <c r="D73" s="20" t="str">
        <f aca="false">IF($B73=1,Bewirtschaftung*(1+Kostensteigerung)^($A73-1),"")</f>
        <v/>
      </c>
      <c r="E73" s="19" t="str">
        <f aca="false">IF($B73=1,C73*Flaeche*12/1000000,"")</f>
        <v/>
      </c>
      <c r="F73" s="19" t="str">
        <f aca="false">IF($B73=1,D73*Flaeche*12/1000000,"")</f>
        <v/>
      </c>
      <c r="G73" s="19" t="str">
        <f aca="false">IF($B73=1,E73-F73,"")</f>
        <v/>
      </c>
      <c r="H73" s="19" t="str">
        <f aca="false">IF($B73=1,IF(OR(Nur_Zinsen=1,$A73&lt;=Laufzeit_EK),KD_EK_Jahr,0),"")</f>
        <v/>
      </c>
      <c r="I73" s="19" t="str">
        <f aca="false">IF($B73=1,IF(OR(Nur_Zinsen=1,$A73&lt;=Laufzeit_FK),KD_FK_Jahr,0),"")</f>
        <v/>
      </c>
      <c r="J73" s="19" t="str">
        <f aca="false">IF($B73=1,H73+I73,"")</f>
        <v/>
      </c>
      <c r="K73" s="54" t="str">
        <f aca="false">IF($B73=1,G73-J73,"")</f>
        <v/>
      </c>
      <c r="L73" s="55" t="str">
        <f aca="false">IF($B73=1,K73*1000000/Flaeche/12,"")</f>
        <v/>
      </c>
      <c r="M73" s="56" t="str">
        <f aca="false">IF($B73=1,K73*1000000/Wohnungen/12,"")</f>
        <v/>
      </c>
      <c r="N73" s="56" t="str">
        <f aca="false">IF($B73=1,N72+K73,"")</f>
        <v/>
      </c>
      <c r="O73" s="54" t="str">
        <f aca="false">IF($B73=1,G73-I73,"")</f>
        <v/>
      </c>
      <c r="P73" s="15" t="str">
        <f aca="false">IF($B73=1,IF(Nur_Zinsen=1,Eigenkapital,IF($A73&gt;=Laufzeit_EK,0,IF(Zins_EK=0,Eigenkapital*(1-$A73/Laufzeit_EK),MAX(0,Eigenkapital*(1+Zins_EK)^$A73-KD_EK_Jahr*((1+Zins_EK)^$A73-1)/Zins_EK)))),"")</f>
        <v/>
      </c>
      <c r="Q73" s="15" t="str">
        <f aca="false">IF($B73=1,IF(Nur_Zinsen=1,Fremdkapital,IF($A73&gt;=Laufzeit_FK,0,IF(Zins_FK=0,Fremdkapital*(1-$A73/Laufzeit_FK),MAX(0,Fremdkapital*(1+Zins_FK)^$A73-KD_FK_Jahr*((1+Zins_FK)^$A73-1)/Zins_FK)))),"")</f>
        <v/>
      </c>
      <c r="R73" s="57" t="str">
        <f aca="false">IF($B73=1,1/(1+Diskontsatz)^$A73,"")</f>
        <v/>
      </c>
      <c r="S73" s="54" t="str">
        <f aca="false">IF($B73=1,K73*R73,"")</f>
        <v/>
      </c>
      <c r="T73" s="18" t="str">
        <f aca="false">IF($B73=1,IF(K73&lt;0,$A73,""),"")</f>
        <v/>
      </c>
    </row>
    <row r="74" customFormat="false" ht="15" hidden="false" customHeight="false" outlineLevel="0" collapsed="false">
      <c r="A74" s="18" t="n">
        <f aca="false">A73+1</f>
        <v>70</v>
      </c>
      <c r="B74" s="18" t="n">
        <f aca="false">IF($A74&lt;=Horizont,1,0)</f>
        <v>0</v>
      </c>
      <c r="C74" s="20" t="str">
        <f aca="false">IF($B74=1,Miete*(1+Mietsteigerung)^($A74-1),"")</f>
        <v/>
      </c>
      <c r="D74" s="20" t="str">
        <f aca="false">IF($B74=1,Bewirtschaftung*(1+Kostensteigerung)^($A74-1),"")</f>
        <v/>
      </c>
      <c r="E74" s="19" t="str">
        <f aca="false">IF($B74=1,C74*Flaeche*12/1000000,"")</f>
        <v/>
      </c>
      <c r="F74" s="19" t="str">
        <f aca="false">IF($B74=1,D74*Flaeche*12/1000000,"")</f>
        <v/>
      </c>
      <c r="G74" s="19" t="str">
        <f aca="false">IF($B74=1,E74-F74,"")</f>
        <v/>
      </c>
      <c r="H74" s="19" t="str">
        <f aca="false">IF($B74=1,IF(OR(Nur_Zinsen=1,$A74&lt;=Laufzeit_EK),KD_EK_Jahr,0),"")</f>
        <v/>
      </c>
      <c r="I74" s="19" t="str">
        <f aca="false">IF($B74=1,IF(OR(Nur_Zinsen=1,$A74&lt;=Laufzeit_FK),KD_FK_Jahr,0),"")</f>
        <v/>
      </c>
      <c r="J74" s="19" t="str">
        <f aca="false">IF($B74=1,H74+I74,"")</f>
        <v/>
      </c>
      <c r="K74" s="54" t="str">
        <f aca="false">IF($B74=1,G74-J74,"")</f>
        <v/>
      </c>
      <c r="L74" s="55" t="str">
        <f aca="false">IF($B74=1,K74*1000000/Flaeche/12,"")</f>
        <v/>
      </c>
      <c r="M74" s="56" t="str">
        <f aca="false">IF($B74=1,K74*1000000/Wohnungen/12,"")</f>
        <v/>
      </c>
      <c r="N74" s="56" t="str">
        <f aca="false">IF($B74=1,N73+K74,"")</f>
        <v/>
      </c>
      <c r="O74" s="54" t="str">
        <f aca="false">IF($B74=1,G74-I74,"")</f>
        <v/>
      </c>
      <c r="P74" s="15" t="str">
        <f aca="false">IF($B74=1,IF(Nur_Zinsen=1,Eigenkapital,IF($A74&gt;=Laufzeit_EK,0,IF(Zins_EK=0,Eigenkapital*(1-$A74/Laufzeit_EK),MAX(0,Eigenkapital*(1+Zins_EK)^$A74-KD_EK_Jahr*((1+Zins_EK)^$A74-1)/Zins_EK)))),"")</f>
        <v/>
      </c>
      <c r="Q74" s="15" t="str">
        <f aca="false">IF($B74=1,IF(Nur_Zinsen=1,Fremdkapital,IF($A74&gt;=Laufzeit_FK,0,IF(Zins_FK=0,Fremdkapital*(1-$A74/Laufzeit_FK),MAX(0,Fremdkapital*(1+Zins_FK)^$A74-KD_FK_Jahr*((1+Zins_FK)^$A74-1)/Zins_FK)))),"")</f>
        <v/>
      </c>
      <c r="R74" s="57" t="str">
        <f aca="false">IF($B74=1,1/(1+Diskontsatz)^$A74,"")</f>
        <v/>
      </c>
      <c r="S74" s="54" t="str">
        <f aca="false">IF($B74=1,K74*R74,"")</f>
        <v/>
      </c>
      <c r="T74" s="18" t="str">
        <f aca="false">IF($B74=1,IF(K74&lt;0,$A74,""),"")</f>
        <v/>
      </c>
    </row>
    <row r="75" customFormat="false" ht="15" hidden="false" customHeight="false" outlineLevel="0" collapsed="false">
      <c r="A75" s="18" t="n">
        <f aca="false">A74+1</f>
        <v>71</v>
      </c>
      <c r="B75" s="18" t="n">
        <f aca="false">IF($A75&lt;=Horizont,1,0)</f>
        <v>0</v>
      </c>
      <c r="C75" s="20" t="str">
        <f aca="false">IF($B75=1,Miete*(1+Mietsteigerung)^($A75-1),"")</f>
        <v/>
      </c>
      <c r="D75" s="20" t="str">
        <f aca="false">IF($B75=1,Bewirtschaftung*(1+Kostensteigerung)^($A75-1),"")</f>
        <v/>
      </c>
      <c r="E75" s="19" t="str">
        <f aca="false">IF($B75=1,C75*Flaeche*12/1000000,"")</f>
        <v/>
      </c>
      <c r="F75" s="19" t="str">
        <f aca="false">IF($B75=1,D75*Flaeche*12/1000000,"")</f>
        <v/>
      </c>
      <c r="G75" s="19" t="str">
        <f aca="false">IF($B75=1,E75-F75,"")</f>
        <v/>
      </c>
      <c r="H75" s="19" t="str">
        <f aca="false">IF($B75=1,IF(OR(Nur_Zinsen=1,$A75&lt;=Laufzeit_EK),KD_EK_Jahr,0),"")</f>
        <v/>
      </c>
      <c r="I75" s="19" t="str">
        <f aca="false">IF($B75=1,IF(OR(Nur_Zinsen=1,$A75&lt;=Laufzeit_FK),KD_FK_Jahr,0),"")</f>
        <v/>
      </c>
      <c r="J75" s="19" t="str">
        <f aca="false">IF($B75=1,H75+I75,"")</f>
        <v/>
      </c>
      <c r="K75" s="54" t="str">
        <f aca="false">IF($B75=1,G75-J75,"")</f>
        <v/>
      </c>
      <c r="L75" s="55" t="str">
        <f aca="false">IF($B75=1,K75*1000000/Flaeche/12,"")</f>
        <v/>
      </c>
      <c r="M75" s="56" t="str">
        <f aca="false">IF($B75=1,K75*1000000/Wohnungen/12,"")</f>
        <v/>
      </c>
      <c r="N75" s="56" t="str">
        <f aca="false">IF($B75=1,N74+K75,"")</f>
        <v/>
      </c>
      <c r="O75" s="54" t="str">
        <f aca="false">IF($B75=1,G75-I75,"")</f>
        <v/>
      </c>
      <c r="P75" s="15" t="str">
        <f aca="false">IF($B75=1,IF(Nur_Zinsen=1,Eigenkapital,IF($A75&gt;=Laufzeit_EK,0,IF(Zins_EK=0,Eigenkapital*(1-$A75/Laufzeit_EK),MAX(0,Eigenkapital*(1+Zins_EK)^$A75-KD_EK_Jahr*((1+Zins_EK)^$A75-1)/Zins_EK)))),"")</f>
        <v/>
      </c>
      <c r="Q75" s="15" t="str">
        <f aca="false">IF($B75=1,IF(Nur_Zinsen=1,Fremdkapital,IF($A75&gt;=Laufzeit_FK,0,IF(Zins_FK=0,Fremdkapital*(1-$A75/Laufzeit_FK),MAX(0,Fremdkapital*(1+Zins_FK)^$A75-KD_FK_Jahr*((1+Zins_FK)^$A75-1)/Zins_FK)))),"")</f>
        <v/>
      </c>
      <c r="R75" s="57" t="str">
        <f aca="false">IF($B75=1,1/(1+Diskontsatz)^$A75,"")</f>
        <v/>
      </c>
      <c r="S75" s="54" t="str">
        <f aca="false">IF($B75=1,K75*R75,"")</f>
        <v/>
      </c>
      <c r="T75" s="18" t="str">
        <f aca="false">IF($B75=1,IF(K75&lt;0,$A75,""),"")</f>
        <v/>
      </c>
    </row>
    <row r="76" customFormat="false" ht="15" hidden="false" customHeight="false" outlineLevel="0" collapsed="false">
      <c r="A76" s="18" t="n">
        <f aca="false">A75+1</f>
        <v>72</v>
      </c>
      <c r="B76" s="18" t="n">
        <f aca="false">IF($A76&lt;=Horizont,1,0)</f>
        <v>0</v>
      </c>
      <c r="C76" s="20" t="str">
        <f aca="false">IF($B76=1,Miete*(1+Mietsteigerung)^($A76-1),"")</f>
        <v/>
      </c>
      <c r="D76" s="20" t="str">
        <f aca="false">IF($B76=1,Bewirtschaftung*(1+Kostensteigerung)^($A76-1),"")</f>
        <v/>
      </c>
      <c r="E76" s="19" t="str">
        <f aca="false">IF($B76=1,C76*Flaeche*12/1000000,"")</f>
        <v/>
      </c>
      <c r="F76" s="19" t="str">
        <f aca="false">IF($B76=1,D76*Flaeche*12/1000000,"")</f>
        <v/>
      </c>
      <c r="G76" s="19" t="str">
        <f aca="false">IF($B76=1,E76-F76,"")</f>
        <v/>
      </c>
      <c r="H76" s="19" t="str">
        <f aca="false">IF($B76=1,IF(OR(Nur_Zinsen=1,$A76&lt;=Laufzeit_EK),KD_EK_Jahr,0),"")</f>
        <v/>
      </c>
      <c r="I76" s="19" t="str">
        <f aca="false">IF($B76=1,IF(OR(Nur_Zinsen=1,$A76&lt;=Laufzeit_FK),KD_FK_Jahr,0),"")</f>
        <v/>
      </c>
      <c r="J76" s="19" t="str">
        <f aca="false">IF($B76=1,H76+I76,"")</f>
        <v/>
      </c>
      <c r="K76" s="54" t="str">
        <f aca="false">IF($B76=1,G76-J76,"")</f>
        <v/>
      </c>
      <c r="L76" s="55" t="str">
        <f aca="false">IF($B76=1,K76*1000000/Flaeche/12,"")</f>
        <v/>
      </c>
      <c r="M76" s="56" t="str">
        <f aca="false">IF($B76=1,K76*1000000/Wohnungen/12,"")</f>
        <v/>
      </c>
      <c r="N76" s="56" t="str">
        <f aca="false">IF($B76=1,N75+K76,"")</f>
        <v/>
      </c>
      <c r="O76" s="54" t="str">
        <f aca="false">IF($B76=1,G76-I76,"")</f>
        <v/>
      </c>
      <c r="P76" s="15" t="str">
        <f aca="false">IF($B76=1,IF(Nur_Zinsen=1,Eigenkapital,IF($A76&gt;=Laufzeit_EK,0,IF(Zins_EK=0,Eigenkapital*(1-$A76/Laufzeit_EK),MAX(0,Eigenkapital*(1+Zins_EK)^$A76-KD_EK_Jahr*((1+Zins_EK)^$A76-1)/Zins_EK)))),"")</f>
        <v/>
      </c>
      <c r="Q76" s="15" t="str">
        <f aca="false">IF($B76=1,IF(Nur_Zinsen=1,Fremdkapital,IF($A76&gt;=Laufzeit_FK,0,IF(Zins_FK=0,Fremdkapital*(1-$A76/Laufzeit_FK),MAX(0,Fremdkapital*(1+Zins_FK)^$A76-KD_FK_Jahr*((1+Zins_FK)^$A76-1)/Zins_FK)))),"")</f>
        <v/>
      </c>
      <c r="R76" s="57" t="str">
        <f aca="false">IF($B76=1,1/(1+Diskontsatz)^$A76,"")</f>
        <v/>
      </c>
      <c r="S76" s="54" t="str">
        <f aca="false">IF($B76=1,K76*R76,"")</f>
        <v/>
      </c>
      <c r="T76" s="18" t="str">
        <f aca="false">IF($B76=1,IF(K76&lt;0,$A76,""),"")</f>
        <v/>
      </c>
    </row>
    <row r="77" customFormat="false" ht="15" hidden="false" customHeight="false" outlineLevel="0" collapsed="false">
      <c r="A77" s="18" t="n">
        <f aca="false">A76+1</f>
        <v>73</v>
      </c>
      <c r="B77" s="18" t="n">
        <f aca="false">IF($A77&lt;=Horizont,1,0)</f>
        <v>0</v>
      </c>
      <c r="C77" s="20" t="str">
        <f aca="false">IF($B77=1,Miete*(1+Mietsteigerung)^($A77-1),"")</f>
        <v/>
      </c>
      <c r="D77" s="20" t="str">
        <f aca="false">IF($B77=1,Bewirtschaftung*(1+Kostensteigerung)^($A77-1),"")</f>
        <v/>
      </c>
      <c r="E77" s="19" t="str">
        <f aca="false">IF($B77=1,C77*Flaeche*12/1000000,"")</f>
        <v/>
      </c>
      <c r="F77" s="19" t="str">
        <f aca="false">IF($B77=1,D77*Flaeche*12/1000000,"")</f>
        <v/>
      </c>
      <c r="G77" s="19" t="str">
        <f aca="false">IF($B77=1,E77-F77,"")</f>
        <v/>
      </c>
      <c r="H77" s="19" t="str">
        <f aca="false">IF($B77=1,IF(OR(Nur_Zinsen=1,$A77&lt;=Laufzeit_EK),KD_EK_Jahr,0),"")</f>
        <v/>
      </c>
      <c r="I77" s="19" t="str">
        <f aca="false">IF($B77=1,IF(OR(Nur_Zinsen=1,$A77&lt;=Laufzeit_FK),KD_FK_Jahr,0),"")</f>
        <v/>
      </c>
      <c r="J77" s="19" t="str">
        <f aca="false">IF($B77=1,H77+I77,"")</f>
        <v/>
      </c>
      <c r="K77" s="54" t="str">
        <f aca="false">IF($B77=1,G77-J77,"")</f>
        <v/>
      </c>
      <c r="L77" s="55" t="str">
        <f aca="false">IF($B77=1,K77*1000000/Flaeche/12,"")</f>
        <v/>
      </c>
      <c r="M77" s="56" t="str">
        <f aca="false">IF($B77=1,K77*1000000/Wohnungen/12,"")</f>
        <v/>
      </c>
      <c r="N77" s="56" t="str">
        <f aca="false">IF($B77=1,N76+K77,"")</f>
        <v/>
      </c>
      <c r="O77" s="54" t="str">
        <f aca="false">IF($B77=1,G77-I77,"")</f>
        <v/>
      </c>
      <c r="P77" s="15" t="str">
        <f aca="false">IF($B77=1,IF(Nur_Zinsen=1,Eigenkapital,IF($A77&gt;=Laufzeit_EK,0,IF(Zins_EK=0,Eigenkapital*(1-$A77/Laufzeit_EK),MAX(0,Eigenkapital*(1+Zins_EK)^$A77-KD_EK_Jahr*((1+Zins_EK)^$A77-1)/Zins_EK)))),"")</f>
        <v/>
      </c>
      <c r="Q77" s="15" t="str">
        <f aca="false">IF($B77=1,IF(Nur_Zinsen=1,Fremdkapital,IF($A77&gt;=Laufzeit_FK,0,IF(Zins_FK=0,Fremdkapital*(1-$A77/Laufzeit_FK),MAX(0,Fremdkapital*(1+Zins_FK)^$A77-KD_FK_Jahr*((1+Zins_FK)^$A77-1)/Zins_FK)))),"")</f>
        <v/>
      </c>
      <c r="R77" s="57" t="str">
        <f aca="false">IF($B77=1,1/(1+Diskontsatz)^$A77,"")</f>
        <v/>
      </c>
      <c r="S77" s="54" t="str">
        <f aca="false">IF($B77=1,K77*R77,"")</f>
        <v/>
      </c>
      <c r="T77" s="18" t="str">
        <f aca="false">IF($B77=1,IF(K77&lt;0,$A77,""),"")</f>
        <v/>
      </c>
    </row>
    <row r="78" customFormat="false" ht="15" hidden="false" customHeight="false" outlineLevel="0" collapsed="false">
      <c r="A78" s="18" t="n">
        <f aca="false">A77+1</f>
        <v>74</v>
      </c>
      <c r="B78" s="18" t="n">
        <f aca="false">IF($A78&lt;=Horizont,1,0)</f>
        <v>0</v>
      </c>
      <c r="C78" s="20" t="str">
        <f aca="false">IF($B78=1,Miete*(1+Mietsteigerung)^($A78-1),"")</f>
        <v/>
      </c>
      <c r="D78" s="20" t="str">
        <f aca="false">IF($B78=1,Bewirtschaftung*(1+Kostensteigerung)^($A78-1),"")</f>
        <v/>
      </c>
      <c r="E78" s="19" t="str">
        <f aca="false">IF($B78=1,C78*Flaeche*12/1000000,"")</f>
        <v/>
      </c>
      <c r="F78" s="19" t="str">
        <f aca="false">IF($B78=1,D78*Flaeche*12/1000000,"")</f>
        <v/>
      </c>
      <c r="G78" s="19" t="str">
        <f aca="false">IF($B78=1,E78-F78,"")</f>
        <v/>
      </c>
      <c r="H78" s="19" t="str">
        <f aca="false">IF($B78=1,IF(OR(Nur_Zinsen=1,$A78&lt;=Laufzeit_EK),KD_EK_Jahr,0),"")</f>
        <v/>
      </c>
      <c r="I78" s="19" t="str">
        <f aca="false">IF($B78=1,IF(OR(Nur_Zinsen=1,$A78&lt;=Laufzeit_FK),KD_FK_Jahr,0),"")</f>
        <v/>
      </c>
      <c r="J78" s="19" t="str">
        <f aca="false">IF($B78=1,H78+I78,"")</f>
        <v/>
      </c>
      <c r="K78" s="54" t="str">
        <f aca="false">IF($B78=1,G78-J78,"")</f>
        <v/>
      </c>
      <c r="L78" s="55" t="str">
        <f aca="false">IF($B78=1,K78*1000000/Flaeche/12,"")</f>
        <v/>
      </c>
      <c r="M78" s="56" t="str">
        <f aca="false">IF($B78=1,K78*1000000/Wohnungen/12,"")</f>
        <v/>
      </c>
      <c r="N78" s="56" t="str">
        <f aca="false">IF($B78=1,N77+K78,"")</f>
        <v/>
      </c>
      <c r="O78" s="54" t="str">
        <f aca="false">IF($B78=1,G78-I78,"")</f>
        <v/>
      </c>
      <c r="P78" s="15" t="str">
        <f aca="false">IF($B78=1,IF(Nur_Zinsen=1,Eigenkapital,IF($A78&gt;=Laufzeit_EK,0,IF(Zins_EK=0,Eigenkapital*(1-$A78/Laufzeit_EK),MAX(0,Eigenkapital*(1+Zins_EK)^$A78-KD_EK_Jahr*((1+Zins_EK)^$A78-1)/Zins_EK)))),"")</f>
        <v/>
      </c>
      <c r="Q78" s="15" t="str">
        <f aca="false">IF($B78=1,IF(Nur_Zinsen=1,Fremdkapital,IF($A78&gt;=Laufzeit_FK,0,IF(Zins_FK=0,Fremdkapital*(1-$A78/Laufzeit_FK),MAX(0,Fremdkapital*(1+Zins_FK)^$A78-KD_FK_Jahr*((1+Zins_FK)^$A78-1)/Zins_FK)))),"")</f>
        <v/>
      </c>
      <c r="R78" s="57" t="str">
        <f aca="false">IF($B78=1,1/(1+Diskontsatz)^$A78,"")</f>
        <v/>
      </c>
      <c r="S78" s="54" t="str">
        <f aca="false">IF($B78=1,K78*R78,"")</f>
        <v/>
      </c>
      <c r="T78" s="18" t="str">
        <f aca="false">IF($B78=1,IF(K78&lt;0,$A78,""),"")</f>
        <v/>
      </c>
    </row>
    <row r="79" customFormat="false" ht="15" hidden="false" customHeight="false" outlineLevel="0" collapsed="false">
      <c r="A79" s="18" t="n">
        <f aca="false">A78+1</f>
        <v>75</v>
      </c>
      <c r="B79" s="18" t="n">
        <f aca="false">IF($A79&lt;=Horizont,1,0)</f>
        <v>0</v>
      </c>
      <c r="C79" s="20" t="str">
        <f aca="false">IF($B79=1,Miete*(1+Mietsteigerung)^($A79-1),"")</f>
        <v/>
      </c>
      <c r="D79" s="20" t="str">
        <f aca="false">IF($B79=1,Bewirtschaftung*(1+Kostensteigerung)^($A79-1),"")</f>
        <v/>
      </c>
      <c r="E79" s="19" t="str">
        <f aca="false">IF($B79=1,C79*Flaeche*12/1000000,"")</f>
        <v/>
      </c>
      <c r="F79" s="19" t="str">
        <f aca="false">IF($B79=1,D79*Flaeche*12/1000000,"")</f>
        <v/>
      </c>
      <c r="G79" s="19" t="str">
        <f aca="false">IF($B79=1,E79-F79,"")</f>
        <v/>
      </c>
      <c r="H79" s="19" t="str">
        <f aca="false">IF($B79=1,IF(OR(Nur_Zinsen=1,$A79&lt;=Laufzeit_EK),KD_EK_Jahr,0),"")</f>
        <v/>
      </c>
      <c r="I79" s="19" t="str">
        <f aca="false">IF($B79=1,IF(OR(Nur_Zinsen=1,$A79&lt;=Laufzeit_FK),KD_FK_Jahr,0),"")</f>
        <v/>
      </c>
      <c r="J79" s="19" t="str">
        <f aca="false">IF($B79=1,H79+I79,"")</f>
        <v/>
      </c>
      <c r="K79" s="54" t="str">
        <f aca="false">IF($B79=1,G79-J79,"")</f>
        <v/>
      </c>
      <c r="L79" s="55" t="str">
        <f aca="false">IF($B79=1,K79*1000000/Flaeche/12,"")</f>
        <v/>
      </c>
      <c r="M79" s="56" t="str">
        <f aca="false">IF($B79=1,K79*1000000/Wohnungen/12,"")</f>
        <v/>
      </c>
      <c r="N79" s="56" t="str">
        <f aca="false">IF($B79=1,N78+K79,"")</f>
        <v/>
      </c>
      <c r="O79" s="54" t="str">
        <f aca="false">IF($B79=1,G79-I79,"")</f>
        <v/>
      </c>
      <c r="P79" s="15" t="str">
        <f aca="false">IF($B79=1,IF(Nur_Zinsen=1,Eigenkapital,IF($A79&gt;=Laufzeit_EK,0,IF(Zins_EK=0,Eigenkapital*(1-$A79/Laufzeit_EK),MAX(0,Eigenkapital*(1+Zins_EK)^$A79-KD_EK_Jahr*((1+Zins_EK)^$A79-1)/Zins_EK)))),"")</f>
        <v/>
      </c>
      <c r="Q79" s="15" t="str">
        <f aca="false">IF($B79=1,IF(Nur_Zinsen=1,Fremdkapital,IF($A79&gt;=Laufzeit_FK,0,IF(Zins_FK=0,Fremdkapital*(1-$A79/Laufzeit_FK),MAX(0,Fremdkapital*(1+Zins_FK)^$A79-KD_FK_Jahr*((1+Zins_FK)^$A79-1)/Zins_FK)))),"")</f>
        <v/>
      </c>
      <c r="R79" s="57" t="str">
        <f aca="false">IF($B79=1,1/(1+Diskontsatz)^$A79,"")</f>
        <v/>
      </c>
      <c r="S79" s="54" t="str">
        <f aca="false">IF($B79=1,K79*R79,"")</f>
        <v/>
      </c>
      <c r="T79" s="18" t="str">
        <f aca="false">IF($B79=1,IF(K79&lt;0,$A79,""),"")</f>
        <v/>
      </c>
    </row>
    <row r="80" customFormat="false" ht="15" hidden="false" customHeight="false" outlineLevel="0" collapsed="false">
      <c r="A80" s="18" t="n">
        <f aca="false">A79+1</f>
        <v>76</v>
      </c>
      <c r="B80" s="18" t="n">
        <f aca="false">IF($A80&lt;=Horizont,1,0)</f>
        <v>0</v>
      </c>
      <c r="C80" s="20" t="str">
        <f aca="false">IF($B80=1,Miete*(1+Mietsteigerung)^($A80-1),"")</f>
        <v/>
      </c>
      <c r="D80" s="20" t="str">
        <f aca="false">IF($B80=1,Bewirtschaftung*(1+Kostensteigerung)^($A80-1),"")</f>
        <v/>
      </c>
      <c r="E80" s="19" t="str">
        <f aca="false">IF($B80=1,C80*Flaeche*12/1000000,"")</f>
        <v/>
      </c>
      <c r="F80" s="19" t="str">
        <f aca="false">IF($B80=1,D80*Flaeche*12/1000000,"")</f>
        <v/>
      </c>
      <c r="G80" s="19" t="str">
        <f aca="false">IF($B80=1,E80-F80,"")</f>
        <v/>
      </c>
      <c r="H80" s="19" t="str">
        <f aca="false">IF($B80=1,IF(OR(Nur_Zinsen=1,$A80&lt;=Laufzeit_EK),KD_EK_Jahr,0),"")</f>
        <v/>
      </c>
      <c r="I80" s="19" t="str">
        <f aca="false">IF($B80=1,IF(OR(Nur_Zinsen=1,$A80&lt;=Laufzeit_FK),KD_FK_Jahr,0),"")</f>
        <v/>
      </c>
      <c r="J80" s="19" t="str">
        <f aca="false">IF($B80=1,H80+I80,"")</f>
        <v/>
      </c>
      <c r="K80" s="54" t="str">
        <f aca="false">IF($B80=1,G80-J80,"")</f>
        <v/>
      </c>
      <c r="L80" s="55" t="str">
        <f aca="false">IF($B80=1,K80*1000000/Flaeche/12,"")</f>
        <v/>
      </c>
      <c r="M80" s="56" t="str">
        <f aca="false">IF($B80=1,K80*1000000/Wohnungen/12,"")</f>
        <v/>
      </c>
      <c r="N80" s="56" t="str">
        <f aca="false">IF($B80=1,N79+K80,"")</f>
        <v/>
      </c>
      <c r="O80" s="54" t="str">
        <f aca="false">IF($B80=1,G80-I80,"")</f>
        <v/>
      </c>
      <c r="P80" s="15" t="str">
        <f aca="false">IF($B80=1,IF(Nur_Zinsen=1,Eigenkapital,IF($A80&gt;=Laufzeit_EK,0,IF(Zins_EK=0,Eigenkapital*(1-$A80/Laufzeit_EK),MAX(0,Eigenkapital*(1+Zins_EK)^$A80-KD_EK_Jahr*((1+Zins_EK)^$A80-1)/Zins_EK)))),"")</f>
        <v/>
      </c>
      <c r="Q80" s="15" t="str">
        <f aca="false">IF($B80=1,IF(Nur_Zinsen=1,Fremdkapital,IF($A80&gt;=Laufzeit_FK,0,IF(Zins_FK=0,Fremdkapital*(1-$A80/Laufzeit_FK),MAX(0,Fremdkapital*(1+Zins_FK)^$A80-KD_FK_Jahr*((1+Zins_FK)^$A80-1)/Zins_FK)))),"")</f>
        <v/>
      </c>
      <c r="R80" s="57" t="str">
        <f aca="false">IF($B80=1,1/(1+Diskontsatz)^$A80,"")</f>
        <v/>
      </c>
      <c r="S80" s="54" t="str">
        <f aca="false">IF($B80=1,K80*R80,"")</f>
        <v/>
      </c>
      <c r="T80" s="18" t="str">
        <f aca="false">IF($B80=1,IF(K80&lt;0,$A80,""),"")</f>
        <v/>
      </c>
    </row>
    <row r="81" customFormat="false" ht="15" hidden="false" customHeight="false" outlineLevel="0" collapsed="false">
      <c r="A81" s="18" t="n">
        <f aca="false">A80+1</f>
        <v>77</v>
      </c>
      <c r="B81" s="18" t="n">
        <f aca="false">IF($A81&lt;=Horizont,1,0)</f>
        <v>0</v>
      </c>
      <c r="C81" s="20" t="str">
        <f aca="false">IF($B81=1,Miete*(1+Mietsteigerung)^($A81-1),"")</f>
        <v/>
      </c>
      <c r="D81" s="20" t="str">
        <f aca="false">IF($B81=1,Bewirtschaftung*(1+Kostensteigerung)^($A81-1),"")</f>
        <v/>
      </c>
      <c r="E81" s="19" t="str">
        <f aca="false">IF($B81=1,C81*Flaeche*12/1000000,"")</f>
        <v/>
      </c>
      <c r="F81" s="19" t="str">
        <f aca="false">IF($B81=1,D81*Flaeche*12/1000000,"")</f>
        <v/>
      </c>
      <c r="G81" s="19" t="str">
        <f aca="false">IF($B81=1,E81-F81,"")</f>
        <v/>
      </c>
      <c r="H81" s="19" t="str">
        <f aca="false">IF($B81=1,IF(OR(Nur_Zinsen=1,$A81&lt;=Laufzeit_EK),KD_EK_Jahr,0),"")</f>
        <v/>
      </c>
      <c r="I81" s="19" t="str">
        <f aca="false">IF($B81=1,IF(OR(Nur_Zinsen=1,$A81&lt;=Laufzeit_FK),KD_FK_Jahr,0),"")</f>
        <v/>
      </c>
      <c r="J81" s="19" t="str">
        <f aca="false">IF($B81=1,H81+I81,"")</f>
        <v/>
      </c>
      <c r="K81" s="54" t="str">
        <f aca="false">IF($B81=1,G81-J81,"")</f>
        <v/>
      </c>
      <c r="L81" s="55" t="str">
        <f aca="false">IF($B81=1,K81*1000000/Flaeche/12,"")</f>
        <v/>
      </c>
      <c r="M81" s="56" t="str">
        <f aca="false">IF($B81=1,K81*1000000/Wohnungen/12,"")</f>
        <v/>
      </c>
      <c r="N81" s="56" t="str">
        <f aca="false">IF($B81=1,N80+K81,"")</f>
        <v/>
      </c>
      <c r="O81" s="54" t="str">
        <f aca="false">IF($B81=1,G81-I81,"")</f>
        <v/>
      </c>
      <c r="P81" s="15" t="str">
        <f aca="false">IF($B81=1,IF(Nur_Zinsen=1,Eigenkapital,IF($A81&gt;=Laufzeit_EK,0,IF(Zins_EK=0,Eigenkapital*(1-$A81/Laufzeit_EK),MAX(0,Eigenkapital*(1+Zins_EK)^$A81-KD_EK_Jahr*((1+Zins_EK)^$A81-1)/Zins_EK)))),"")</f>
        <v/>
      </c>
      <c r="Q81" s="15" t="str">
        <f aca="false">IF($B81=1,IF(Nur_Zinsen=1,Fremdkapital,IF($A81&gt;=Laufzeit_FK,0,IF(Zins_FK=0,Fremdkapital*(1-$A81/Laufzeit_FK),MAX(0,Fremdkapital*(1+Zins_FK)^$A81-KD_FK_Jahr*((1+Zins_FK)^$A81-1)/Zins_FK)))),"")</f>
        <v/>
      </c>
      <c r="R81" s="57" t="str">
        <f aca="false">IF($B81=1,1/(1+Diskontsatz)^$A81,"")</f>
        <v/>
      </c>
      <c r="S81" s="54" t="str">
        <f aca="false">IF($B81=1,K81*R81,"")</f>
        <v/>
      </c>
      <c r="T81" s="18" t="str">
        <f aca="false">IF($B81=1,IF(K81&lt;0,$A81,""),"")</f>
        <v/>
      </c>
    </row>
    <row r="82" customFormat="false" ht="15" hidden="false" customHeight="false" outlineLevel="0" collapsed="false">
      <c r="A82" s="18" t="n">
        <f aca="false">A81+1</f>
        <v>78</v>
      </c>
      <c r="B82" s="18" t="n">
        <f aca="false">IF($A82&lt;=Horizont,1,0)</f>
        <v>0</v>
      </c>
      <c r="C82" s="20" t="str">
        <f aca="false">IF($B82=1,Miete*(1+Mietsteigerung)^($A82-1),"")</f>
        <v/>
      </c>
      <c r="D82" s="20" t="str">
        <f aca="false">IF($B82=1,Bewirtschaftung*(1+Kostensteigerung)^($A82-1),"")</f>
        <v/>
      </c>
      <c r="E82" s="19" t="str">
        <f aca="false">IF($B82=1,C82*Flaeche*12/1000000,"")</f>
        <v/>
      </c>
      <c r="F82" s="19" t="str">
        <f aca="false">IF($B82=1,D82*Flaeche*12/1000000,"")</f>
        <v/>
      </c>
      <c r="G82" s="19" t="str">
        <f aca="false">IF($B82=1,E82-F82,"")</f>
        <v/>
      </c>
      <c r="H82" s="19" t="str">
        <f aca="false">IF($B82=1,IF(OR(Nur_Zinsen=1,$A82&lt;=Laufzeit_EK),KD_EK_Jahr,0),"")</f>
        <v/>
      </c>
      <c r="I82" s="19" t="str">
        <f aca="false">IF($B82=1,IF(OR(Nur_Zinsen=1,$A82&lt;=Laufzeit_FK),KD_FK_Jahr,0),"")</f>
        <v/>
      </c>
      <c r="J82" s="19" t="str">
        <f aca="false">IF($B82=1,H82+I82,"")</f>
        <v/>
      </c>
      <c r="K82" s="54" t="str">
        <f aca="false">IF($B82=1,G82-J82,"")</f>
        <v/>
      </c>
      <c r="L82" s="55" t="str">
        <f aca="false">IF($B82=1,K82*1000000/Flaeche/12,"")</f>
        <v/>
      </c>
      <c r="M82" s="56" t="str">
        <f aca="false">IF($B82=1,K82*1000000/Wohnungen/12,"")</f>
        <v/>
      </c>
      <c r="N82" s="56" t="str">
        <f aca="false">IF($B82=1,N81+K82,"")</f>
        <v/>
      </c>
      <c r="O82" s="54" t="str">
        <f aca="false">IF($B82=1,G82-I82,"")</f>
        <v/>
      </c>
      <c r="P82" s="15" t="str">
        <f aca="false">IF($B82=1,IF(Nur_Zinsen=1,Eigenkapital,IF($A82&gt;=Laufzeit_EK,0,IF(Zins_EK=0,Eigenkapital*(1-$A82/Laufzeit_EK),MAX(0,Eigenkapital*(1+Zins_EK)^$A82-KD_EK_Jahr*((1+Zins_EK)^$A82-1)/Zins_EK)))),"")</f>
        <v/>
      </c>
      <c r="Q82" s="15" t="str">
        <f aca="false">IF($B82=1,IF(Nur_Zinsen=1,Fremdkapital,IF($A82&gt;=Laufzeit_FK,0,IF(Zins_FK=0,Fremdkapital*(1-$A82/Laufzeit_FK),MAX(0,Fremdkapital*(1+Zins_FK)^$A82-KD_FK_Jahr*((1+Zins_FK)^$A82-1)/Zins_FK)))),"")</f>
        <v/>
      </c>
      <c r="R82" s="57" t="str">
        <f aca="false">IF($B82=1,1/(1+Diskontsatz)^$A82,"")</f>
        <v/>
      </c>
      <c r="S82" s="54" t="str">
        <f aca="false">IF($B82=1,K82*R82,"")</f>
        <v/>
      </c>
      <c r="T82" s="18" t="str">
        <f aca="false">IF($B82=1,IF(K82&lt;0,$A82,""),"")</f>
        <v/>
      </c>
    </row>
    <row r="83" customFormat="false" ht="15" hidden="false" customHeight="false" outlineLevel="0" collapsed="false">
      <c r="A83" s="18" t="n">
        <f aca="false">A82+1</f>
        <v>79</v>
      </c>
      <c r="B83" s="18" t="n">
        <f aca="false">IF($A83&lt;=Horizont,1,0)</f>
        <v>0</v>
      </c>
      <c r="C83" s="20" t="str">
        <f aca="false">IF($B83=1,Miete*(1+Mietsteigerung)^($A83-1),"")</f>
        <v/>
      </c>
      <c r="D83" s="20" t="str">
        <f aca="false">IF($B83=1,Bewirtschaftung*(1+Kostensteigerung)^($A83-1),"")</f>
        <v/>
      </c>
      <c r="E83" s="19" t="str">
        <f aca="false">IF($B83=1,C83*Flaeche*12/1000000,"")</f>
        <v/>
      </c>
      <c r="F83" s="19" t="str">
        <f aca="false">IF($B83=1,D83*Flaeche*12/1000000,"")</f>
        <v/>
      </c>
      <c r="G83" s="19" t="str">
        <f aca="false">IF($B83=1,E83-F83,"")</f>
        <v/>
      </c>
      <c r="H83" s="19" t="str">
        <f aca="false">IF($B83=1,IF(OR(Nur_Zinsen=1,$A83&lt;=Laufzeit_EK),KD_EK_Jahr,0),"")</f>
        <v/>
      </c>
      <c r="I83" s="19" t="str">
        <f aca="false">IF($B83=1,IF(OR(Nur_Zinsen=1,$A83&lt;=Laufzeit_FK),KD_FK_Jahr,0),"")</f>
        <v/>
      </c>
      <c r="J83" s="19" t="str">
        <f aca="false">IF($B83=1,H83+I83,"")</f>
        <v/>
      </c>
      <c r="K83" s="54" t="str">
        <f aca="false">IF($B83=1,G83-J83,"")</f>
        <v/>
      </c>
      <c r="L83" s="55" t="str">
        <f aca="false">IF($B83=1,K83*1000000/Flaeche/12,"")</f>
        <v/>
      </c>
      <c r="M83" s="56" t="str">
        <f aca="false">IF($B83=1,K83*1000000/Wohnungen/12,"")</f>
        <v/>
      </c>
      <c r="N83" s="56" t="str">
        <f aca="false">IF($B83=1,N82+K83,"")</f>
        <v/>
      </c>
      <c r="O83" s="54" t="str">
        <f aca="false">IF($B83=1,G83-I83,"")</f>
        <v/>
      </c>
      <c r="P83" s="15" t="str">
        <f aca="false">IF($B83=1,IF(Nur_Zinsen=1,Eigenkapital,IF($A83&gt;=Laufzeit_EK,0,IF(Zins_EK=0,Eigenkapital*(1-$A83/Laufzeit_EK),MAX(0,Eigenkapital*(1+Zins_EK)^$A83-KD_EK_Jahr*((1+Zins_EK)^$A83-1)/Zins_EK)))),"")</f>
        <v/>
      </c>
      <c r="Q83" s="15" t="str">
        <f aca="false">IF($B83=1,IF(Nur_Zinsen=1,Fremdkapital,IF($A83&gt;=Laufzeit_FK,0,IF(Zins_FK=0,Fremdkapital*(1-$A83/Laufzeit_FK),MAX(0,Fremdkapital*(1+Zins_FK)^$A83-KD_FK_Jahr*((1+Zins_FK)^$A83-1)/Zins_FK)))),"")</f>
        <v/>
      </c>
      <c r="R83" s="57" t="str">
        <f aca="false">IF($B83=1,1/(1+Diskontsatz)^$A83,"")</f>
        <v/>
      </c>
      <c r="S83" s="54" t="str">
        <f aca="false">IF($B83=1,K83*R83,"")</f>
        <v/>
      </c>
      <c r="T83" s="18" t="str">
        <f aca="false">IF($B83=1,IF(K83&lt;0,$A83,""),"")</f>
        <v/>
      </c>
    </row>
    <row r="84" customFormat="false" ht="15" hidden="false" customHeight="false" outlineLevel="0" collapsed="false">
      <c r="A84" s="18" t="n">
        <f aca="false">A83+1</f>
        <v>80</v>
      </c>
      <c r="B84" s="18" t="n">
        <f aca="false">IF($A84&lt;=Horizont,1,0)</f>
        <v>0</v>
      </c>
      <c r="C84" s="20" t="str">
        <f aca="false">IF($B84=1,Miete*(1+Mietsteigerung)^($A84-1),"")</f>
        <v/>
      </c>
      <c r="D84" s="20" t="str">
        <f aca="false">IF($B84=1,Bewirtschaftung*(1+Kostensteigerung)^($A84-1),"")</f>
        <v/>
      </c>
      <c r="E84" s="19" t="str">
        <f aca="false">IF($B84=1,C84*Flaeche*12/1000000,"")</f>
        <v/>
      </c>
      <c r="F84" s="19" t="str">
        <f aca="false">IF($B84=1,D84*Flaeche*12/1000000,"")</f>
        <v/>
      </c>
      <c r="G84" s="19" t="str">
        <f aca="false">IF($B84=1,E84-F84,"")</f>
        <v/>
      </c>
      <c r="H84" s="19" t="str">
        <f aca="false">IF($B84=1,IF(OR(Nur_Zinsen=1,$A84&lt;=Laufzeit_EK),KD_EK_Jahr,0),"")</f>
        <v/>
      </c>
      <c r="I84" s="19" t="str">
        <f aca="false">IF($B84=1,IF(OR(Nur_Zinsen=1,$A84&lt;=Laufzeit_FK),KD_FK_Jahr,0),"")</f>
        <v/>
      </c>
      <c r="J84" s="19" t="str">
        <f aca="false">IF($B84=1,H84+I84,"")</f>
        <v/>
      </c>
      <c r="K84" s="54" t="str">
        <f aca="false">IF($B84=1,G84-J84,"")</f>
        <v/>
      </c>
      <c r="L84" s="55" t="str">
        <f aca="false">IF($B84=1,K84*1000000/Flaeche/12,"")</f>
        <v/>
      </c>
      <c r="M84" s="56" t="str">
        <f aca="false">IF($B84=1,K84*1000000/Wohnungen/12,"")</f>
        <v/>
      </c>
      <c r="N84" s="56" t="str">
        <f aca="false">IF($B84=1,N83+K84,"")</f>
        <v/>
      </c>
      <c r="O84" s="54" t="str">
        <f aca="false">IF($B84=1,G84-I84,"")</f>
        <v/>
      </c>
      <c r="P84" s="15" t="str">
        <f aca="false">IF($B84=1,IF(Nur_Zinsen=1,Eigenkapital,IF($A84&gt;=Laufzeit_EK,0,IF(Zins_EK=0,Eigenkapital*(1-$A84/Laufzeit_EK),MAX(0,Eigenkapital*(1+Zins_EK)^$A84-KD_EK_Jahr*((1+Zins_EK)^$A84-1)/Zins_EK)))),"")</f>
        <v/>
      </c>
      <c r="Q84" s="15" t="str">
        <f aca="false">IF($B84=1,IF(Nur_Zinsen=1,Fremdkapital,IF($A84&gt;=Laufzeit_FK,0,IF(Zins_FK=0,Fremdkapital*(1-$A84/Laufzeit_FK),MAX(0,Fremdkapital*(1+Zins_FK)^$A84-KD_FK_Jahr*((1+Zins_FK)^$A84-1)/Zins_FK)))),"")</f>
        <v/>
      </c>
      <c r="R84" s="57" t="str">
        <f aca="false">IF($B84=1,1/(1+Diskontsatz)^$A84,"")</f>
        <v/>
      </c>
      <c r="S84" s="54" t="str">
        <f aca="false">IF($B84=1,K84*R84,"")</f>
        <v/>
      </c>
      <c r="T84" s="18" t="str">
        <f aca="false">IF($B84=1,IF(K84&lt;0,$A84,""),"")</f>
        <v/>
      </c>
    </row>
    <row r="85" customFormat="false" ht="15" hidden="false" customHeight="false" outlineLevel="0" collapsed="false">
      <c r="A85" s="18" t="n">
        <f aca="false">A84+1</f>
        <v>81</v>
      </c>
      <c r="B85" s="18" t="n">
        <f aca="false">IF($A85&lt;=Horizont,1,0)</f>
        <v>0</v>
      </c>
      <c r="C85" s="20" t="str">
        <f aca="false">IF($B85=1,Miete*(1+Mietsteigerung)^($A85-1),"")</f>
        <v/>
      </c>
      <c r="D85" s="20" t="str">
        <f aca="false">IF($B85=1,Bewirtschaftung*(1+Kostensteigerung)^($A85-1),"")</f>
        <v/>
      </c>
      <c r="E85" s="19" t="str">
        <f aca="false">IF($B85=1,C85*Flaeche*12/1000000,"")</f>
        <v/>
      </c>
      <c r="F85" s="19" t="str">
        <f aca="false">IF($B85=1,D85*Flaeche*12/1000000,"")</f>
        <v/>
      </c>
      <c r="G85" s="19" t="str">
        <f aca="false">IF($B85=1,E85-F85,"")</f>
        <v/>
      </c>
      <c r="H85" s="19" t="str">
        <f aca="false">IF($B85=1,IF(OR(Nur_Zinsen=1,$A85&lt;=Laufzeit_EK),KD_EK_Jahr,0),"")</f>
        <v/>
      </c>
      <c r="I85" s="19" t="str">
        <f aca="false">IF($B85=1,IF(OR(Nur_Zinsen=1,$A85&lt;=Laufzeit_FK),KD_FK_Jahr,0),"")</f>
        <v/>
      </c>
      <c r="J85" s="19" t="str">
        <f aca="false">IF($B85=1,H85+I85,"")</f>
        <v/>
      </c>
      <c r="K85" s="54" t="str">
        <f aca="false">IF($B85=1,G85-J85,"")</f>
        <v/>
      </c>
      <c r="L85" s="55" t="str">
        <f aca="false">IF($B85=1,K85*1000000/Flaeche/12,"")</f>
        <v/>
      </c>
      <c r="M85" s="56" t="str">
        <f aca="false">IF($B85=1,K85*1000000/Wohnungen/12,"")</f>
        <v/>
      </c>
      <c r="N85" s="56" t="str">
        <f aca="false">IF($B85=1,N84+K85,"")</f>
        <v/>
      </c>
      <c r="O85" s="54" t="str">
        <f aca="false">IF($B85=1,G85-I85,"")</f>
        <v/>
      </c>
      <c r="P85" s="15" t="str">
        <f aca="false">IF($B85=1,IF(Nur_Zinsen=1,Eigenkapital,IF($A85&gt;=Laufzeit_EK,0,IF(Zins_EK=0,Eigenkapital*(1-$A85/Laufzeit_EK),MAX(0,Eigenkapital*(1+Zins_EK)^$A85-KD_EK_Jahr*((1+Zins_EK)^$A85-1)/Zins_EK)))),"")</f>
        <v/>
      </c>
      <c r="Q85" s="15" t="str">
        <f aca="false">IF($B85=1,IF(Nur_Zinsen=1,Fremdkapital,IF($A85&gt;=Laufzeit_FK,0,IF(Zins_FK=0,Fremdkapital*(1-$A85/Laufzeit_FK),MAX(0,Fremdkapital*(1+Zins_FK)^$A85-KD_FK_Jahr*((1+Zins_FK)^$A85-1)/Zins_FK)))),"")</f>
        <v/>
      </c>
      <c r="R85" s="57" t="str">
        <f aca="false">IF($B85=1,1/(1+Diskontsatz)^$A85,"")</f>
        <v/>
      </c>
      <c r="S85" s="54" t="str">
        <f aca="false">IF($B85=1,K85*R85,"")</f>
        <v/>
      </c>
      <c r="T85" s="18" t="str">
        <f aca="false">IF($B85=1,IF(K85&lt;0,$A85,""),"")</f>
        <v/>
      </c>
    </row>
    <row r="86" customFormat="false" ht="15" hidden="false" customHeight="false" outlineLevel="0" collapsed="false">
      <c r="A86" s="18" t="n">
        <f aca="false">A85+1</f>
        <v>82</v>
      </c>
      <c r="B86" s="18" t="n">
        <f aca="false">IF($A86&lt;=Horizont,1,0)</f>
        <v>0</v>
      </c>
      <c r="C86" s="20" t="str">
        <f aca="false">IF($B86=1,Miete*(1+Mietsteigerung)^($A86-1),"")</f>
        <v/>
      </c>
      <c r="D86" s="20" t="str">
        <f aca="false">IF($B86=1,Bewirtschaftung*(1+Kostensteigerung)^($A86-1),"")</f>
        <v/>
      </c>
      <c r="E86" s="19" t="str">
        <f aca="false">IF($B86=1,C86*Flaeche*12/1000000,"")</f>
        <v/>
      </c>
      <c r="F86" s="19" t="str">
        <f aca="false">IF($B86=1,D86*Flaeche*12/1000000,"")</f>
        <v/>
      </c>
      <c r="G86" s="19" t="str">
        <f aca="false">IF($B86=1,E86-F86,"")</f>
        <v/>
      </c>
      <c r="H86" s="19" t="str">
        <f aca="false">IF($B86=1,IF(OR(Nur_Zinsen=1,$A86&lt;=Laufzeit_EK),KD_EK_Jahr,0),"")</f>
        <v/>
      </c>
      <c r="I86" s="19" t="str">
        <f aca="false">IF($B86=1,IF(OR(Nur_Zinsen=1,$A86&lt;=Laufzeit_FK),KD_FK_Jahr,0),"")</f>
        <v/>
      </c>
      <c r="J86" s="19" t="str">
        <f aca="false">IF($B86=1,H86+I86,"")</f>
        <v/>
      </c>
      <c r="K86" s="54" t="str">
        <f aca="false">IF($B86=1,G86-J86,"")</f>
        <v/>
      </c>
      <c r="L86" s="55" t="str">
        <f aca="false">IF($B86=1,K86*1000000/Flaeche/12,"")</f>
        <v/>
      </c>
      <c r="M86" s="56" t="str">
        <f aca="false">IF($B86=1,K86*1000000/Wohnungen/12,"")</f>
        <v/>
      </c>
      <c r="N86" s="56" t="str">
        <f aca="false">IF($B86=1,N85+K86,"")</f>
        <v/>
      </c>
      <c r="O86" s="54" t="str">
        <f aca="false">IF($B86=1,G86-I86,"")</f>
        <v/>
      </c>
      <c r="P86" s="15" t="str">
        <f aca="false">IF($B86=1,IF(Nur_Zinsen=1,Eigenkapital,IF($A86&gt;=Laufzeit_EK,0,IF(Zins_EK=0,Eigenkapital*(1-$A86/Laufzeit_EK),MAX(0,Eigenkapital*(1+Zins_EK)^$A86-KD_EK_Jahr*((1+Zins_EK)^$A86-1)/Zins_EK)))),"")</f>
        <v/>
      </c>
      <c r="Q86" s="15" t="str">
        <f aca="false">IF($B86=1,IF(Nur_Zinsen=1,Fremdkapital,IF($A86&gt;=Laufzeit_FK,0,IF(Zins_FK=0,Fremdkapital*(1-$A86/Laufzeit_FK),MAX(0,Fremdkapital*(1+Zins_FK)^$A86-KD_FK_Jahr*((1+Zins_FK)^$A86-1)/Zins_FK)))),"")</f>
        <v/>
      </c>
      <c r="R86" s="57" t="str">
        <f aca="false">IF($B86=1,1/(1+Diskontsatz)^$A86,"")</f>
        <v/>
      </c>
      <c r="S86" s="54" t="str">
        <f aca="false">IF($B86=1,K86*R86,"")</f>
        <v/>
      </c>
      <c r="T86" s="18" t="str">
        <f aca="false">IF($B86=1,IF(K86&lt;0,$A86,""),"")</f>
        <v/>
      </c>
    </row>
    <row r="87" customFormat="false" ht="15" hidden="false" customHeight="false" outlineLevel="0" collapsed="false">
      <c r="A87" s="18" t="n">
        <f aca="false">A86+1</f>
        <v>83</v>
      </c>
      <c r="B87" s="18" t="n">
        <f aca="false">IF($A87&lt;=Horizont,1,0)</f>
        <v>0</v>
      </c>
      <c r="C87" s="20" t="str">
        <f aca="false">IF($B87=1,Miete*(1+Mietsteigerung)^($A87-1),"")</f>
        <v/>
      </c>
      <c r="D87" s="20" t="str">
        <f aca="false">IF($B87=1,Bewirtschaftung*(1+Kostensteigerung)^($A87-1),"")</f>
        <v/>
      </c>
      <c r="E87" s="19" t="str">
        <f aca="false">IF($B87=1,C87*Flaeche*12/1000000,"")</f>
        <v/>
      </c>
      <c r="F87" s="19" t="str">
        <f aca="false">IF($B87=1,D87*Flaeche*12/1000000,"")</f>
        <v/>
      </c>
      <c r="G87" s="19" t="str">
        <f aca="false">IF($B87=1,E87-F87,"")</f>
        <v/>
      </c>
      <c r="H87" s="19" t="str">
        <f aca="false">IF($B87=1,IF(OR(Nur_Zinsen=1,$A87&lt;=Laufzeit_EK),KD_EK_Jahr,0),"")</f>
        <v/>
      </c>
      <c r="I87" s="19" t="str">
        <f aca="false">IF($B87=1,IF(OR(Nur_Zinsen=1,$A87&lt;=Laufzeit_FK),KD_FK_Jahr,0),"")</f>
        <v/>
      </c>
      <c r="J87" s="19" t="str">
        <f aca="false">IF($B87=1,H87+I87,"")</f>
        <v/>
      </c>
      <c r="K87" s="54" t="str">
        <f aca="false">IF($B87=1,G87-J87,"")</f>
        <v/>
      </c>
      <c r="L87" s="55" t="str">
        <f aca="false">IF($B87=1,K87*1000000/Flaeche/12,"")</f>
        <v/>
      </c>
      <c r="M87" s="56" t="str">
        <f aca="false">IF($B87=1,K87*1000000/Wohnungen/12,"")</f>
        <v/>
      </c>
      <c r="N87" s="56" t="str">
        <f aca="false">IF($B87=1,N86+K87,"")</f>
        <v/>
      </c>
      <c r="O87" s="54" t="str">
        <f aca="false">IF($B87=1,G87-I87,"")</f>
        <v/>
      </c>
      <c r="P87" s="15" t="str">
        <f aca="false">IF($B87=1,IF(Nur_Zinsen=1,Eigenkapital,IF($A87&gt;=Laufzeit_EK,0,IF(Zins_EK=0,Eigenkapital*(1-$A87/Laufzeit_EK),MAX(0,Eigenkapital*(1+Zins_EK)^$A87-KD_EK_Jahr*((1+Zins_EK)^$A87-1)/Zins_EK)))),"")</f>
        <v/>
      </c>
      <c r="Q87" s="15" t="str">
        <f aca="false">IF($B87=1,IF(Nur_Zinsen=1,Fremdkapital,IF($A87&gt;=Laufzeit_FK,0,IF(Zins_FK=0,Fremdkapital*(1-$A87/Laufzeit_FK),MAX(0,Fremdkapital*(1+Zins_FK)^$A87-KD_FK_Jahr*((1+Zins_FK)^$A87-1)/Zins_FK)))),"")</f>
        <v/>
      </c>
      <c r="R87" s="57" t="str">
        <f aca="false">IF($B87=1,1/(1+Diskontsatz)^$A87,"")</f>
        <v/>
      </c>
      <c r="S87" s="54" t="str">
        <f aca="false">IF($B87=1,K87*R87,"")</f>
        <v/>
      </c>
      <c r="T87" s="18" t="str">
        <f aca="false">IF($B87=1,IF(K87&lt;0,$A87,""),"")</f>
        <v/>
      </c>
    </row>
    <row r="88" customFormat="false" ht="15" hidden="false" customHeight="false" outlineLevel="0" collapsed="false">
      <c r="A88" s="18" t="n">
        <f aca="false">A87+1</f>
        <v>84</v>
      </c>
      <c r="B88" s="18" t="n">
        <f aca="false">IF($A88&lt;=Horizont,1,0)</f>
        <v>0</v>
      </c>
      <c r="C88" s="20" t="str">
        <f aca="false">IF($B88=1,Miete*(1+Mietsteigerung)^($A88-1),"")</f>
        <v/>
      </c>
      <c r="D88" s="20" t="str">
        <f aca="false">IF($B88=1,Bewirtschaftung*(1+Kostensteigerung)^($A88-1),"")</f>
        <v/>
      </c>
      <c r="E88" s="19" t="str">
        <f aca="false">IF($B88=1,C88*Flaeche*12/1000000,"")</f>
        <v/>
      </c>
      <c r="F88" s="19" t="str">
        <f aca="false">IF($B88=1,D88*Flaeche*12/1000000,"")</f>
        <v/>
      </c>
      <c r="G88" s="19" t="str">
        <f aca="false">IF($B88=1,E88-F88,"")</f>
        <v/>
      </c>
      <c r="H88" s="19" t="str">
        <f aca="false">IF($B88=1,IF(OR(Nur_Zinsen=1,$A88&lt;=Laufzeit_EK),KD_EK_Jahr,0),"")</f>
        <v/>
      </c>
      <c r="I88" s="19" t="str">
        <f aca="false">IF($B88=1,IF(OR(Nur_Zinsen=1,$A88&lt;=Laufzeit_FK),KD_FK_Jahr,0),"")</f>
        <v/>
      </c>
      <c r="J88" s="19" t="str">
        <f aca="false">IF($B88=1,H88+I88,"")</f>
        <v/>
      </c>
      <c r="K88" s="54" t="str">
        <f aca="false">IF($B88=1,G88-J88,"")</f>
        <v/>
      </c>
      <c r="L88" s="55" t="str">
        <f aca="false">IF($B88=1,K88*1000000/Flaeche/12,"")</f>
        <v/>
      </c>
      <c r="M88" s="56" t="str">
        <f aca="false">IF($B88=1,K88*1000000/Wohnungen/12,"")</f>
        <v/>
      </c>
      <c r="N88" s="56" t="str">
        <f aca="false">IF($B88=1,N87+K88,"")</f>
        <v/>
      </c>
      <c r="O88" s="54" t="str">
        <f aca="false">IF($B88=1,G88-I88,"")</f>
        <v/>
      </c>
      <c r="P88" s="15" t="str">
        <f aca="false">IF($B88=1,IF(Nur_Zinsen=1,Eigenkapital,IF($A88&gt;=Laufzeit_EK,0,IF(Zins_EK=0,Eigenkapital*(1-$A88/Laufzeit_EK),MAX(0,Eigenkapital*(1+Zins_EK)^$A88-KD_EK_Jahr*((1+Zins_EK)^$A88-1)/Zins_EK)))),"")</f>
        <v/>
      </c>
      <c r="Q88" s="15" t="str">
        <f aca="false">IF($B88=1,IF(Nur_Zinsen=1,Fremdkapital,IF($A88&gt;=Laufzeit_FK,0,IF(Zins_FK=0,Fremdkapital*(1-$A88/Laufzeit_FK),MAX(0,Fremdkapital*(1+Zins_FK)^$A88-KD_FK_Jahr*((1+Zins_FK)^$A88-1)/Zins_FK)))),"")</f>
        <v/>
      </c>
      <c r="R88" s="57" t="str">
        <f aca="false">IF($B88=1,1/(1+Diskontsatz)^$A88,"")</f>
        <v/>
      </c>
      <c r="S88" s="54" t="str">
        <f aca="false">IF($B88=1,K88*R88,"")</f>
        <v/>
      </c>
      <c r="T88" s="18" t="str">
        <f aca="false">IF($B88=1,IF(K88&lt;0,$A88,""),"")</f>
        <v/>
      </c>
    </row>
    <row r="89" customFormat="false" ht="15" hidden="false" customHeight="false" outlineLevel="0" collapsed="false">
      <c r="A89" s="18" t="n">
        <f aca="false">A88+1</f>
        <v>85</v>
      </c>
      <c r="B89" s="18" t="n">
        <f aca="false">IF($A89&lt;=Horizont,1,0)</f>
        <v>0</v>
      </c>
      <c r="C89" s="20" t="str">
        <f aca="false">IF($B89=1,Miete*(1+Mietsteigerung)^($A89-1),"")</f>
        <v/>
      </c>
      <c r="D89" s="20" t="str">
        <f aca="false">IF($B89=1,Bewirtschaftung*(1+Kostensteigerung)^($A89-1),"")</f>
        <v/>
      </c>
      <c r="E89" s="19" t="str">
        <f aca="false">IF($B89=1,C89*Flaeche*12/1000000,"")</f>
        <v/>
      </c>
      <c r="F89" s="19" t="str">
        <f aca="false">IF($B89=1,D89*Flaeche*12/1000000,"")</f>
        <v/>
      </c>
      <c r="G89" s="19" t="str">
        <f aca="false">IF($B89=1,E89-F89,"")</f>
        <v/>
      </c>
      <c r="H89" s="19" t="str">
        <f aca="false">IF($B89=1,IF(OR(Nur_Zinsen=1,$A89&lt;=Laufzeit_EK),KD_EK_Jahr,0),"")</f>
        <v/>
      </c>
      <c r="I89" s="19" t="str">
        <f aca="false">IF($B89=1,IF(OR(Nur_Zinsen=1,$A89&lt;=Laufzeit_FK),KD_FK_Jahr,0),"")</f>
        <v/>
      </c>
      <c r="J89" s="19" t="str">
        <f aca="false">IF($B89=1,H89+I89,"")</f>
        <v/>
      </c>
      <c r="K89" s="54" t="str">
        <f aca="false">IF($B89=1,G89-J89,"")</f>
        <v/>
      </c>
      <c r="L89" s="55" t="str">
        <f aca="false">IF($B89=1,K89*1000000/Flaeche/12,"")</f>
        <v/>
      </c>
      <c r="M89" s="56" t="str">
        <f aca="false">IF($B89=1,K89*1000000/Wohnungen/12,"")</f>
        <v/>
      </c>
      <c r="N89" s="56" t="str">
        <f aca="false">IF($B89=1,N88+K89,"")</f>
        <v/>
      </c>
      <c r="O89" s="54" t="str">
        <f aca="false">IF($B89=1,G89-I89,"")</f>
        <v/>
      </c>
      <c r="P89" s="15" t="str">
        <f aca="false">IF($B89=1,IF(Nur_Zinsen=1,Eigenkapital,IF($A89&gt;=Laufzeit_EK,0,IF(Zins_EK=0,Eigenkapital*(1-$A89/Laufzeit_EK),MAX(0,Eigenkapital*(1+Zins_EK)^$A89-KD_EK_Jahr*((1+Zins_EK)^$A89-1)/Zins_EK)))),"")</f>
        <v/>
      </c>
      <c r="Q89" s="15" t="str">
        <f aca="false">IF($B89=1,IF(Nur_Zinsen=1,Fremdkapital,IF($A89&gt;=Laufzeit_FK,0,IF(Zins_FK=0,Fremdkapital*(1-$A89/Laufzeit_FK),MAX(0,Fremdkapital*(1+Zins_FK)^$A89-KD_FK_Jahr*((1+Zins_FK)^$A89-1)/Zins_FK)))),"")</f>
        <v/>
      </c>
      <c r="R89" s="57" t="str">
        <f aca="false">IF($B89=1,1/(1+Diskontsatz)^$A89,"")</f>
        <v/>
      </c>
      <c r="S89" s="54" t="str">
        <f aca="false">IF($B89=1,K89*R89,"")</f>
        <v/>
      </c>
      <c r="T89" s="18" t="str">
        <f aca="false">IF($B89=1,IF(K89&lt;0,$A89,""),"")</f>
        <v/>
      </c>
    </row>
    <row r="90" customFormat="false" ht="15" hidden="false" customHeight="false" outlineLevel="0" collapsed="false">
      <c r="A90" s="18" t="n">
        <f aca="false">A89+1</f>
        <v>86</v>
      </c>
      <c r="B90" s="18" t="n">
        <f aca="false">IF($A90&lt;=Horizont,1,0)</f>
        <v>0</v>
      </c>
      <c r="C90" s="20" t="str">
        <f aca="false">IF($B90=1,Miete*(1+Mietsteigerung)^($A90-1),"")</f>
        <v/>
      </c>
      <c r="D90" s="20" t="str">
        <f aca="false">IF($B90=1,Bewirtschaftung*(1+Kostensteigerung)^($A90-1),"")</f>
        <v/>
      </c>
      <c r="E90" s="19" t="str">
        <f aca="false">IF($B90=1,C90*Flaeche*12/1000000,"")</f>
        <v/>
      </c>
      <c r="F90" s="19" t="str">
        <f aca="false">IF($B90=1,D90*Flaeche*12/1000000,"")</f>
        <v/>
      </c>
      <c r="G90" s="19" t="str">
        <f aca="false">IF($B90=1,E90-F90,"")</f>
        <v/>
      </c>
      <c r="H90" s="19" t="str">
        <f aca="false">IF($B90=1,IF(OR(Nur_Zinsen=1,$A90&lt;=Laufzeit_EK),KD_EK_Jahr,0),"")</f>
        <v/>
      </c>
      <c r="I90" s="19" t="str">
        <f aca="false">IF($B90=1,IF(OR(Nur_Zinsen=1,$A90&lt;=Laufzeit_FK),KD_FK_Jahr,0),"")</f>
        <v/>
      </c>
      <c r="J90" s="19" t="str">
        <f aca="false">IF($B90=1,H90+I90,"")</f>
        <v/>
      </c>
      <c r="K90" s="54" t="str">
        <f aca="false">IF($B90=1,G90-J90,"")</f>
        <v/>
      </c>
      <c r="L90" s="55" t="str">
        <f aca="false">IF($B90=1,K90*1000000/Flaeche/12,"")</f>
        <v/>
      </c>
      <c r="M90" s="56" t="str">
        <f aca="false">IF($B90=1,K90*1000000/Wohnungen/12,"")</f>
        <v/>
      </c>
      <c r="N90" s="56" t="str">
        <f aca="false">IF($B90=1,N89+K90,"")</f>
        <v/>
      </c>
      <c r="O90" s="54" t="str">
        <f aca="false">IF($B90=1,G90-I90,"")</f>
        <v/>
      </c>
      <c r="P90" s="15" t="str">
        <f aca="false">IF($B90=1,IF(Nur_Zinsen=1,Eigenkapital,IF($A90&gt;=Laufzeit_EK,0,IF(Zins_EK=0,Eigenkapital*(1-$A90/Laufzeit_EK),MAX(0,Eigenkapital*(1+Zins_EK)^$A90-KD_EK_Jahr*((1+Zins_EK)^$A90-1)/Zins_EK)))),"")</f>
        <v/>
      </c>
      <c r="Q90" s="15" t="str">
        <f aca="false">IF($B90=1,IF(Nur_Zinsen=1,Fremdkapital,IF($A90&gt;=Laufzeit_FK,0,IF(Zins_FK=0,Fremdkapital*(1-$A90/Laufzeit_FK),MAX(0,Fremdkapital*(1+Zins_FK)^$A90-KD_FK_Jahr*((1+Zins_FK)^$A90-1)/Zins_FK)))),"")</f>
        <v/>
      </c>
      <c r="R90" s="57" t="str">
        <f aca="false">IF($B90=1,1/(1+Diskontsatz)^$A90,"")</f>
        <v/>
      </c>
      <c r="S90" s="54" t="str">
        <f aca="false">IF($B90=1,K90*R90,"")</f>
        <v/>
      </c>
      <c r="T90" s="18" t="str">
        <f aca="false">IF($B90=1,IF(K90&lt;0,$A90,""),"")</f>
        <v/>
      </c>
    </row>
    <row r="91" customFormat="false" ht="15" hidden="false" customHeight="false" outlineLevel="0" collapsed="false">
      <c r="A91" s="18" t="n">
        <f aca="false">A90+1</f>
        <v>87</v>
      </c>
      <c r="B91" s="18" t="n">
        <f aca="false">IF($A91&lt;=Horizont,1,0)</f>
        <v>0</v>
      </c>
      <c r="C91" s="20" t="str">
        <f aca="false">IF($B91=1,Miete*(1+Mietsteigerung)^($A91-1),"")</f>
        <v/>
      </c>
      <c r="D91" s="20" t="str">
        <f aca="false">IF($B91=1,Bewirtschaftung*(1+Kostensteigerung)^($A91-1),"")</f>
        <v/>
      </c>
      <c r="E91" s="19" t="str">
        <f aca="false">IF($B91=1,C91*Flaeche*12/1000000,"")</f>
        <v/>
      </c>
      <c r="F91" s="19" t="str">
        <f aca="false">IF($B91=1,D91*Flaeche*12/1000000,"")</f>
        <v/>
      </c>
      <c r="G91" s="19" t="str">
        <f aca="false">IF($B91=1,E91-F91,"")</f>
        <v/>
      </c>
      <c r="H91" s="19" t="str">
        <f aca="false">IF($B91=1,IF(OR(Nur_Zinsen=1,$A91&lt;=Laufzeit_EK),KD_EK_Jahr,0),"")</f>
        <v/>
      </c>
      <c r="I91" s="19" t="str">
        <f aca="false">IF($B91=1,IF(OR(Nur_Zinsen=1,$A91&lt;=Laufzeit_FK),KD_FK_Jahr,0),"")</f>
        <v/>
      </c>
      <c r="J91" s="19" t="str">
        <f aca="false">IF($B91=1,H91+I91,"")</f>
        <v/>
      </c>
      <c r="K91" s="54" t="str">
        <f aca="false">IF($B91=1,G91-J91,"")</f>
        <v/>
      </c>
      <c r="L91" s="55" t="str">
        <f aca="false">IF($B91=1,K91*1000000/Flaeche/12,"")</f>
        <v/>
      </c>
      <c r="M91" s="56" t="str">
        <f aca="false">IF($B91=1,K91*1000000/Wohnungen/12,"")</f>
        <v/>
      </c>
      <c r="N91" s="56" t="str">
        <f aca="false">IF($B91=1,N90+K91,"")</f>
        <v/>
      </c>
      <c r="O91" s="54" t="str">
        <f aca="false">IF($B91=1,G91-I91,"")</f>
        <v/>
      </c>
      <c r="P91" s="15" t="str">
        <f aca="false">IF($B91=1,IF(Nur_Zinsen=1,Eigenkapital,IF($A91&gt;=Laufzeit_EK,0,IF(Zins_EK=0,Eigenkapital*(1-$A91/Laufzeit_EK),MAX(0,Eigenkapital*(1+Zins_EK)^$A91-KD_EK_Jahr*((1+Zins_EK)^$A91-1)/Zins_EK)))),"")</f>
        <v/>
      </c>
      <c r="Q91" s="15" t="str">
        <f aca="false">IF($B91=1,IF(Nur_Zinsen=1,Fremdkapital,IF($A91&gt;=Laufzeit_FK,0,IF(Zins_FK=0,Fremdkapital*(1-$A91/Laufzeit_FK),MAX(0,Fremdkapital*(1+Zins_FK)^$A91-KD_FK_Jahr*((1+Zins_FK)^$A91-1)/Zins_FK)))),"")</f>
        <v/>
      </c>
      <c r="R91" s="57" t="str">
        <f aca="false">IF($B91=1,1/(1+Diskontsatz)^$A91,"")</f>
        <v/>
      </c>
      <c r="S91" s="54" t="str">
        <f aca="false">IF($B91=1,K91*R91,"")</f>
        <v/>
      </c>
      <c r="T91" s="18" t="str">
        <f aca="false">IF($B91=1,IF(K91&lt;0,$A91,""),"")</f>
        <v/>
      </c>
    </row>
    <row r="92" customFormat="false" ht="15" hidden="false" customHeight="false" outlineLevel="0" collapsed="false">
      <c r="A92" s="18" t="n">
        <f aca="false">A91+1</f>
        <v>88</v>
      </c>
      <c r="B92" s="18" t="n">
        <f aca="false">IF($A92&lt;=Horizont,1,0)</f>
        <v>0</v>
      </c>
      <c r="C92" s="20" t="str">
        <f aca="false">IF($B92=1,Miete*(1+Mietsteigerung)^($A92-1),"")</f>
        <v/>
      </c>
      <c r="D92" s="20" t="str">
        <f aca="false">IF($B92=1,Bewirtschaftung*(1+Kostensteigerung)^($A92-1),"")</f>
        <v/>
      </c>
      <c r="E92" s="19" t="str">
        <f aca="false">IF($B92=1,C92*Flaeche*12/1000000,"")</f>
        <v/>
      </c>
      <c r="F92" s="19" t="str">
        <f aca="false">IF($B92=1,D92*Flaeche*12/1000000,"")</f>
        <v/>
      </c>
      <c r="G92" s="19" t="str">
        <f aca="false">IF($B92=1,E92-F92,"")</f>
        <v/>
      </c>
      <c r="H92" s="19" t="str">
        <f aca="false">IF($B92=1,IF(OR(Nur_Zinsen=1,$A92&lt;=Laufzeit_EK),KD_EK_Jahr,0),"")</f>
        <v/>
      </c>
      <c r="I92" s="19" t="str">
        <f aca="false">IF($B92=1,IF(OR(Nur_Zinsen=1,$A92&lt;=Laufzeit_FK),KD_FK_Jahr,0),"")</f>
        <v/>
      </c>
      <c r="J92" s="19" t="str">
        <f aca="false">IF($B92=1,H92+I92,"")</f>
        <v/>
      </c>
      <c r="K92" s="54" t="str">
        <f aca="false">IF($B92=1,G92-J92,"")</f>
        <v/>
      </c>
      <c r="L92" s="55" t="str">
        <f aca="false">IF($B92=1,K92*1000000/Flaeche/12,"")</f>
        <v/>
      </c>
      <c r="M92" s="56" t="str">
        <f aca="false">IF($B92=1,K92*1000000/Wohnungen/12,"")</f>
        <v/>
      </c>
      <c r="N92" s="56" t="str">
        <f aca="false">IF($B92=1,N91+K92,"")</f>
        <v/>
      </c>
      <c r="O92" s="54" t="str">
        <f aca="false">IF($B92=1,G92-I92,"")</f>
        <v/>
      </c>
      <c r="P92" s="15" t="str">
        <f aca="false">IF($B92=1,IF(Nur_Zinsen=1,Eigenkapital,IF($A92&gt;=Laufzeit_EK,0,IF(Zins_EK=0,Eigenkapital*(1-$A92/Laufzeit_EK),MAX(0,Eigenkapital*(1+Zins_EK)^$A92-KD_EK_Jahr*((1+Zins_EK)^$A92-1)/Zins_EK)))),"")</f>
        <v/>
      </c>
      <c r="Q92" s="15" t="str">
        <f aca="false">IF($B92=1,IF(Nur_Zinsen=1,Fremdkapital,IF($A92&gt;=Laufzeit_FK,0,IF(Zins_FK=0,Fremdkapital*(1-$A92/Laufzeit_FK),MAX(0,Fremdkapital*(1+Zins_FK)^$A92-KD_FK_Jahr*((1+Zins_FK)^$A92-1)/Zins_FK)))),"")</f>
        <v/>
      </c>
      <c r="R92" s="57" t="str">
        <f aca="false">IF($B92=1,1/(1+Diskontsatz)^$A92,"")</f>
        <v/>
      </c>
      <c r="S92" s="54" t="str">
        <f aca="false">IF($B92=1,K92*R92,"")</f>
        <v/>
      </c>
      <c r="T92" s="18" t="str">
        <f aca="false">IF($B92=1,IF(K92&lt;0,$A92,""),"")</f>
        <v/>
      </c>
    </row>
    <row r="93" customFormat="false" ht="15" hidden="false" customHeight="false" outlineLevel="0" collapsed="false">
      <c r="A93" s="18" t="n">
        <f aca="false">A92+1</f>
        <v>89</v>
      </c>
      <c r="B93" s="18" t="n">
        <f aca="false">IF($A93&lt;=Horizont,1,0)</f>
        <v>0</v>
      </c>
      <c r="C93" s="20" t="str">
        <f aca="false">IF($B93=1,Miete*(1+Mietsteigerung)^($A93-1),"")</f>
        <v/>
      </c>
      <c r="D93" s="20" t="str">
        <f aca="false">IF($B93=1,Bewirtschaftung*(1+Kostensteigerung)^($A93-1),"")</f>
        <v/>
      </c>
      <c r="E93" s="19" t="str">
        <f aca="false">IF($B93=1,C93*Flaeche*12/1000000,"")</f>
        <v/>
      </c>
      <c r="F93" s="19" t="str">
        <f aca="false">IF($B93=1,D93*Flaeche*12/1000000,"")</f>
        <v/>
      </c>
      <c r="G93" s="19" t="str">
        <f aca="false">IF($B93=1,E93-F93,"")</f>
        <v/>
      </c>
      <c r="H93" s="19" t="str">
        <f aca="false">IF($B93=1,IF(OR(Nur_Zinsen=1,$A93&lt;=Laufzeit_EK),KD_EK_Jahr,0),"")</f>
        <v/>
      </c>
      <c r="I93" s="19" t="str">
        <f aca="false">IF($B93=1,IF(OR(Nur_Zinsen=1,$A93&lt;=Laufzeit_FK),KD_FK_Jahr,0),"")</f>
        <v/>
      </c>
      <c r="J93" s="19" t="str">
        <f aca="false">IF($B93=1,H93+I93,"")</f>
        <v/>
      </c>
      <c r="K93" s="54" t="str">
        <f aca="false">IF($B93=1,G93-J93,"")</f>
        <v/>
      </c>
      <c r="L93" s="55" t="str">
        <f aca="false">IF($B93=1,K93*1000000/Flaeche/12,"")</f>
        <v/>
      </c>
      <c r="M93" s="56" t="str">
        <f aca="false">IF($B93=1,K93*1000000/Wohnungen/12,"")</f>
        <v/>
      </c>
      <c r="N93" s="56" t="str">
        <f aca="false">IF($B93=1,N92+K93,"")</f>
        <v/>
      </c>
      <c r="O93" s="54" t="str">
        <f aca="false">IF($B93=1,G93-I93,"")</f>
        <v/>
      </c>
      <c r="P93" s="15" t="str">
        <f aca="false">IF($B93=1,IF(Nur_Zinsen=1,Eigenkapital,IF($A93&gt;=Laufzeit_EK,0,IF(Zins_EK=0,Eigenkapital*(1-$A93/Laufzeit_EK),MAX(0,Eigenkapital*(1+Zins_EK)^$A93-KD_EK_Jahr*((1+Zins_EK)^$A93-1)/Zins_EK)))),"")</f>
        <v/>
      </c>
      <c r="Q93" s="15" t="str">
        <f aca="false">IF($B93=1,IF(Nur_Zinsen=1,Fremdkapital,IF($A93&gt;=Laufzeit_FK,0,IF(Zins_FK=0,Fremdkapital*(1-$A93/Laufzeit_FK),MAX(0,Fremdkapital*(1+Zins_FK)^$A93-KD_FK_Jahr*((1+Zins_FK)^$A93-1)/Zins_FK)))),"")</f>
        <v/>
      </c>
      <c r="R93" s="57" t="str">
        <f aca="false">IF($B93=1,1/(1+Diskontsatz)^$A93,"")</f>
        <v/>
      </c>
      <c r="S93" s="54" t="str">
        <f aca="false">IF($B93=1,K93*R93,"")</f>
        <v/>
      </c>
      <c r="T93" s="18" t="str">
        <f aca="false">IF($B93=1,IF(K93&lt;0,$A93,""),"")</f>
        <v/>
      </c>
    </row>
    <row r="94" customFormat="false" ht="15" hidden="false" customHeight="false" outlineLevel="0" collapsed="false">
      <c r="A94" s="18" t="n">
        <f aca="false">A93+1</f>
        <v>90</v>
      </c>
      <c r="B94" s="18" t="n">
        <f aca="false">IF($A94&lt;=Horizont,1,0)</f>
        <v>0</v>
      </c>
      <c r="C94" s="20" t="str">
        <f aca="false">IF($B94=1,Miete*(1+Mietsteigerung)^($A94-1),"")</f>
        <v/>
      </c>
      <c r="D94" s="20" t="str">
        <f aca="false">IF($B94=1,Bewirtschaftung*(1+Kostensteigerung)^($A94-1),"")</f>
        <v/>
      </c>
      <c r="E94" s="19" t="str">
        <f aca="false">IF($B94=1,C94*Flaeche*12/1000000,"")</f>
        <v/>
      </c>
      <c r="F94" s="19" t="str">
        <f aca="false">IF($B94=1,D94*Flaeche*12/1000000,"")</f>
        <v/>
      </c>
      <c r="G94" s="19" t="str">
        <f aca="false">IF($B94=1,E94-F94,"")</f>
        <v/>
      </c>
      <c r="H94" s="19" t="str">
        <f aca="false">IF($B94=1,IF(OR(Nur_Zinsen=1,$A94&lt;=Laufzeit_EK),KD_EK_Jahr,0),"")</f>
        <v/>
      </c>
      <c r="I94" s="19" t="str">
        <f aca="false">IF($B94=1,IF(OR(Nur_Zinsen=1,$A94&lt;=Laufzeit_FK),KD_FK_Jahr,0),"")</f>
        <v/>
      </c>
      <c r="J94" s="19" t="str">
        <f aca="false">IF($B94=1,H94+I94,"")</f>
        <v/>
      </c>
      <c r="K94" s="54" t="str">
        <f aca="false">IF($B94=1,G94-J94,"")</f>
        <v/>
      </c>
      <c r="L94" s="55" t="str">
        <f aca="false">IF($B94=1,K94*1000000/Flaeche/12,"")</f>
        <v/>
      </c>
      <c r="M94" s="56" t="str">
        <f aca="false">IF($B94=1,K94*1000000/Wohnungen/12,"")</f>
        <v/>
      </c>
      <c r="N94" s="56" t="str">
        <f aca="false">IF($B94=1,N93+K94,"")</f>
        <v/>
      </c>
      <c r="O94" s="54" t="str">
        <f aca="false">IF($B94=1,G94-I94,"")</f>
        <v/>
      </c>
      <c r="P94" s="15" t="str">
        <f aca="false">IF($B94=1,IF(Nur_Zinsen=1,Eigenkapital,IF($A94&gt;=Laufzeit_EK,0,IF(Zins_EK=0,Eigenkapital*(1-$A94/Laufzeit_EK),MAX(0,Eigenkapital*(1+Zins_EK)^$A94-KD_EK_Jahr*((1+Zins_EK)^$A94-1)/Zins_EK)))),"")</f>
        <v/>
      </c>
      <c r="Q94" s="15" t="str">
        <f aca="false">IF($B94=1,IF(Nur_Zinsen=1,Fremdkapital,IF($A94&gt;=Laufzeit_FK,0,IF(Zins_FK=0,Fremdkapital*(1-$A94/Laufzeit_FK),MAX(0,Fremdkapital*(1+Zins_FK)^$A94-KD_FK_Jahr*((1+Zins_FK)^$A94-1)/Zins_FK)))),"")</f>
        <v/>
      </c>
      <c r="R94" s="57" t="str">
        <f aca="false">IF($B94=1,1/(1+Diskontsatz)^$A94,"")</f>
        <v/>
      </c>
      <c r="S94" s="54" t="str">
        <f aca="false">IF($B94=1,K94*R94,"")</f>
        <v/>
      </c>
      <c r="T94" s="18" t="str">
        <f aca="false">IF($B94=1,IF(K94&lt;0,$A94,""),"")</f>
        <v/>
      </c>
    </row>
    <row r="95" customFormat="false" ht="15" hidden="false" customHeight="false" outlineLevel="0" collapsed="false">
      <c r="A95" s="18" t="n">
        <f aca="false">A94+1</f>
        <v>91</v>
      </c>
      <c r="B95" s="18" t="n">
        <f aca="false">IF($A95&lt;=Horizont,1,0)</f>
        <v>0</v>
      </c>
      <c r="C95" s="20" t="str">
        <f aca="false">IF($B95=1,Miete*(1+Mietsteigerung)^($A95-1),"")</f>
        <v/>
      </c>
      <c r="D95" s="20" t="str">
        <f aca="false">IF($B95=1,Bewirtschaftung*(1+Kostensteigerung)^($A95-1),"")</f>
        <v/>
      </c>
      <c r="E95" s="19" t="str">
        <f aca="false">IF($B95=1,C95*Flaeche*12/1000000,"")</f>
        <v/>
      </c>
      <c r="F95" s="19" t="str">
        <f aca="false">IF($B95=1,D95*Flaeche*12/1000000,"")</f>
        <v/>
      </c>
      <c r="G95" s="19" t="str">
        <f aca="false">IF($B95=1,E95-F95,"")</f>
        <v/>
      </c>
      <c r="H95" s="19" t="str">
        <f aca="false">IF($B95=1,IF(OR(Nur_Zinsen=1,$A95&lt;=Laufzeit_EK),KD_EK_Jahr,0),"")</f>
        <v/>
      </c>
      <c r="I95" s="19" t="str">
        <f aca="false">IF($B95=1,IF(OR(Nur_Zinsen=1,$A95&lt;=Laufzeit_FK),KD_FK_Jahr,0),"")</f>
        <v/>
      </c>
      <c r="J95" s="19" t="str">
        <f aca="false">IF($B95=1,H95+I95,"")</f>
        <v/>
      </c>
      <c r="K95" s="54" t="str">
        <f aca="false">IF($B95=1,G95-J95,"")</f>
        <v/>
      </c>
      <c r="L95" s="55" t="str">
        <f aca="false">IF($B95=1,K95*1000000/Flaeche/12,"")</f>
        <v/>
      </c>
      <c r="M95" s="56" t="str">
        <f aca="false">IF($B95=1,K95*1000000/Wohnungen/12,"")</f>
        <v/>
      </c>
      <c r="N95" s="56" t="str">
        <f aca="false">IF($B95=1,N94+K95,"")</f>
        <v/>
      </c>
      <c r="O95" s="54" t="str">
        <f aca="false">IF($B95=1,G95-I95,"")</f>
        <v/>
      </c>
      <c r="P95" s="15" t="str">
        <f aca="false">IF($B95=1,IF(Nur_Zinsen=1,Eigenkapital,IF($A95&gt;=Laufzeit_EK,0,IF(Zins_EK=0,Eigenkapital*(1-$A95/Laufzeit_EK),MAX(0,Eigenkapital*(1+Zins_EK)^$A95-KD_EK_Jahr*((1+Zins_EK)^$A95-1)/Zins_EK)))),"")</f>
        <v/>
      </c>
      <c r="Q95" s="15" t="str">
        <f aca="false">IF($B95=1,IF(Nur_Zinsen=1,Fremdkapital,IF($A95&gt;=Laufzeit_FK,0,IF(Zins_FK=0,Fremdkapital*(1-$A95/Laufzeit_FK),MAX(0,Fremdkapital*(1+Zins_FK)^$A95-KD_FK_Jahr*((1+Zins_FK)^$A95-1)/Zins_FK)))),"")</f>
        <v/>
      </c>
      <c r="R95" s="57" t="str">
        <f aca="false">IF($B95=1,1/(1+Diskontsatz)^$A95,"")</f>
        <v/>
      </c>
      <c r="S95" s="54" t="str">
        <f aca="false">IF($B95=1,K95*R95,"")</f>
        <v/>
      </c>
      <c r="T95" s="18" t="str">
        <f aca="false">IF($B95=1,IF(K95&lt;0,$A95,""),"")</f>
        <v/>
      </c>
    </row>
    <row r="96" customFormat="false" ht="15" hidden="false" customHeight="false" outlineLevel="0" collapsed="false">
      <c r="A96" s="18" t="n">
        <f aca="false">A95+1</f>
        <v>92</v>
      </c>
      <c r="B96" s="18" t="n">
        <f aca="false">IF($A96&lt;=Horizont,1,0)</f>
        <v>0</v>
      </c>
      <c r="C96" s="20" t="str">
        <f aca="false">IF($B96=1,Miete*(1+Mietsteigerung)^($A96-1),"")</f>
        <v/>
      </c>
      <c r="D96" s="20" t="str">
        <f aca="false">IF($B96=1,Bewirtschaftung*(1+Kostensteigerung)^($A96-1),"")</f>
        <v/>
      </c>
      <c r="E96" s="19" t="str">
        <f aca="false">IF($B96=1,C96*Flaeche*12/1000000,"")</f>
        <v/>
      </c>
      <c r="F96" s="19" t="str">
        <f aca="false">IF($B96=1,D96*Flaeche*12/1000000,"")</f>
        <v/>
      </c>
      <c r="G96" s="19" t="str">
        <f aca="false">IF($B96=1,E96-F96,"")</f>
        <v/>
      </c>
      <c r="H96" s="19" t="str">
        <f aca="false">IF($B96=1,IF(OR(Nur_Zinsen=1,$A96&lt;=Laufzeit_EK),KD_EK_Jahr,0),"")</f>
        <v/>
      </c>
      <c r="I96" s="19" t="str">
        <f aca="false">IF($B96=1,IF(OR(Nur_Zinsen=1,$A96&lt;=Laufzeit_FK),KD_FK_Jahr,0),"")</f>
        <v/>
      </c>
      <c r="J96" s="19" t="str">
        <f aca="false">IF($B96=1,H96+I96,"")</f>
        <v/>
      </c>
      <c r="K96" s="54" t="str">
        <f aca="false">IF($B96=1,G96-J96,"")</f>
        <v/>
      </c>
      <c r="L96" s="55" t="str">
        <f aca="false">IF($B96=1,K96*1000000/Flaeche/12,"")</f>
        <v/>
      </c>
      <c r="M96" s="56" t="str">
        <f aca="false">IF($B96=1,K96*1000000/Wohnungen/12,"")</f>
        <v/>
      </c>
      <c r="N96" s="56" t="str">
        <f aca="false">IF($B96=1,N95+K96,"")</f>
        <v/>
      </c>
      <c r="O96" s="54" t="str">
        <f aca="false">IF($B96=1,G96-I96,"")</f>
        <v/>
      </c>
      <c r="P96" s="15" t="str">
        <f aca="false">IF($B96=1,IF(Nur_Zinsen=1,Eigenkapital,IF($A96&gt;=Laufzeit_EK,0,IF(Zins_EK=0,Eigenkapital*(1-$A96/Laufzeit_EK),MAX(0,Eigenkapital*(1+Zins_EK)^$A96-KD_EK_Jahr*((1+Zins_EK)^$A96-1)/Zins_EK)))),"")</f>
        <v/>
      </c>
      <c r="Q96" s="15" t="str">
        <f aca="false">IF($B96=1,IF(Nur_Zinsen=1,Fremdkapital,IF($A96&gt;=Laufzeit_FK,0,IF(Zins_FK=0,Fremdkapital*(1-$A96/Laufzeit_FK),MAX(0,Fremdkapital*(1+Zins_FK)^$A96-KD_FK_Jahr*((1+Zins_FK)^$A96-1)/Zins_FK)))),"")</f>
        <v/>
      </c>
      <c r="R96" s="57" t="str">
        <f aca="false">IF($B96=1,1/(1+Diskontsatz)^$A96,"")</f>
        <v/>
      </c>
      <c r="S96" s="54" t="str">
        <f aca="false">IF($B96=1,K96*R96,"")</f>
        <v/>
      </c>
      <c r="T96" s="18" t="str">
        <f aca="false">IF($B96=1,IF(K96&lt;0,$A96,""),"")</f>
        <v/>
      </c>
    </row>
    <row r="97" customFormat="false" ht="15" hidden="false" customHeight="false" outlineLevel="0" collapsed="false">
      <c r="A97" s="18" t="n">
        <f aca="false">A96+1</f>
        <v>93</v>
      </c>
      <c r="B97" s="18" t="n">
        <f aca="false">IF($A97&lt;=Horizont,1,0)</f>
        <v>0</v>
      </c>
      <c r="C97" s="20" t="str">
        <f aca="false">IF($B97=1,Miete*(1+Mietsteigerung)^($A97-1),"")</f>
        <v/>
      </c>
      <c r="D97" s="20" t="str">
        <f aca="false">IF($B97=1,Bewirtschaftung*(1+Kostensteigerung)^($A97-1),"")</f>
        <v/>
      </c>
      <c r="E97" s="19" t="str">
        <f aca="false">IF($B97=1,C97*Flaeche*12/1000000,"")</f>
        <v/>
      </c>
      <c r="F97" s="19" t="str">
        <f aca="false">IF($B97=1,D97*Flaeche*12/1000000,"")</f>
        <v/>
      </c>
      <c r="G97" s="19" t="str">
        <f aca="false">IF($B97=1,E97-F97,"")</f>
        <v/>
      </c>
      <c r="H97" s="19" t="str">
        <f aca="false">IF($B97=1,IF(OR(Nur_Zinsen=1,$A97&lt;=Laufzeit_EK),KD_EK_Jahr,0),"")</f>
        <v/>
      </c>
      <c r="I97" s="19" t="str">
        <f aca="false">IF($B97=1,IF(OR(Nur_Zinsen=1,$A97&lt;=Laufzeit_FK),KD_FK_Jahr,0),"")</f>
        <v/>
      </c>
      <c r="J97" s="19" t="str">
        <f aca="false">IF($B97=1,H97+I97,"")</f>
        <v/>
      </c>
      <c r="K97" s="54" t="str">
        <f aca="false">IF($B97=1,G97-J97,"")</f>
        <v/>
      </c>
      <c r="L97" s="55" t="str">
        <f aca="false">IF($B97=1,K97*1000000/Flaeche/12,"")</f>
        <v/>
      </c>
      <c r="M97" s="56" t="str">
        <f aca="false">IF($B97=1,K97*1000000/Wohnungen/12,"")</f>
        <v/>
      </c>
      <c r="N97" s="56" t="str">
        <f aca="false">IF($B97=1,N96+K97,"")</f>
        <v/>
      </c>
      <c r="O97" s="54" t="str">
        <f aca="false">IF($B97=1,G97-I97,"")</f>
        <v/>
      </c>
      <c r="P97" s="15" t="str">
        <f aca="false">IF($B97=1,IF(Nur_Zinsen=1,Eigenkapital,IF($A97&gt;=Laufzeit_EK,0,IF(Zins_EK=0,Eigenkapital*(1-$A97/Laufzeit_EK),MAX(0,Eigenkapital*(1+Zins_EK)^$A97-KD_EK_Jahr*((1+Zins_EK)^$A97-1)/Zins_EK)))),"")</f>
        <v/>
      </c>
      <c r="Q97" s="15" t="str">
        <f aca="false">IF($B97=1,IF(Nur_Zinsen=1,Fremdkapital,IF($A97&gt;=Laufzeit_FK,0,IF(Zins_FK=0,Fremdkapital*(1-$A97/Laufzeit_FK),MAX(0,Fremdkapital*(1+Zins_FK)^$A97-KD_FK_Jahr*((1+Zins_FK)^$A97-1)/Zins_FK)))),"")</f>
        <v/>
      </c>
      <c r="R97" s="57" t="str">
        <f aca="false">IF($B97=1,1/(1+Diskontsatz)^$A97,"")</f>
        <v/>
      </c>
      <c r="S97" s="54" t="str">
        <f aca="false">IF($B97=1,K97*R97,"")</f>
        <v/>
      </c>
      <c r="T97" s="18" t="str">
        <f aca="false">IF($B97=1,IF(K97&lt;0,$A97,""),"")</f>
        <v/>
      </c>
    </row>
    <row r="98" customFormat="false" ht="15" hidden="false" customHeight="false" outlineLevel="0" collapsed="false">
      <c r="A98" s="18" t="n">
        <f aca="false">A97+1</f>
        <v>94</v>
      </c>
      <c r="B98" s="18" t="n">
        <f aca="false">IF($A98&lt;=Horizont,1,0)</f>
        <v>0</v>
      </c>
      <c r="C98" s="20" t="str">
        <f aca="false">IF($B98=1,Miete*(1+Mietsteigerung)^($A98-1),"")</f>
        <v/>
      </c>
      <c r="D98" s="20" t="str">
        <f aca="false">IF($B98=1,Bewirtschaftung*(1+Kostensteigerung)^($A98-1),"")</f>
        <v/>
      </c>
      <c r="E98" s="19" t="str">
        <f aca="false">IF($B98=1,C98*Flaeche*12/1000000,"")</f>
        <v/>
      </c>
      <c r="F98" s="19" t="str">
        <f aca="false">IF($B98=1,D98*Flaeche*12/1000000,"")</f>
        <v/>
      </c>
      <c r="G98" s="19" t="str">
        <f aca="false">IF($B98=1,E98-F98,"")</f>
        <v/>
      </c>
      <c r="H98" s="19" t="str">
        <f aca="false">IF($B98=1,IF(OR(Nur_Zinsen=1,$A98&lt;=Laufzeit_EK),KD_EK_Jahr,0),"")</f>
        <v/>
      </c>
      <c r="I98" s="19" t="str">
        <f aca="false">IF($B98=1,IF(OR(Nur_Zinsen=1,$A98&lt;=Laufzeit_FK),KD_FK_Jahr,0),"")</f>
        <v/>
      </c>
      <c r="J98" s="19" t="str">
        <f aca="false">IF($B98=1,H98+I98,"")</f>
        <v/>
      </c>
      <c r="K98" s="54" t="str">
        <f aca="false">IF($B98=1,G98-J98,"")</f>
        <v/>
      </c>
      <c r="L98" s="55" t="str">
        <f aca="false">IF($B98=1,K98*1000000/Flaeche/12,"")</f>
        <v/>
      </c>
      <c r="M98" s="56" t="str">
        <f aca="false">IF($B98=1,K98*1000000/Wohnungen/12,"")</f>
        <v/>
      </c>
      <c r="N98" s="56" t="str">
        <f aca="false">IF($B98=1,N97+K98,"")</f>
        <v/>
      </c>
      <c r="O98" s="54" t="str">
        <f aca="false">IF($B98=1,G98-I98,"")</f>
        <v/>
      </c>
      <c r="P98" s="15" t="str">
        <f aca="false">IF($B98=1,IF(Nur_Zinsen=1,Eigenkapital,IF($A98&gt;=Laufzeit_EK,0,IF(Zins_EK=0,Eigenkapital*(1-$A98/Laufzeit_EK),MAX(0,Eigenkapital*(1+Zins_EK)^$A98-KD_EK_Jahr*((1+Zins_EK)^$A98-1)/Zins_EK)))),"")</f>
        <v/>
      </c>
      <c r="Q98" s="15" t="str">
        <f aca="false">IF($B98=1,IF(Nur_Zinsen=1,Fremdkapital,IF($A98&gt;=Laufzeit_FK,0,IF(Zins_FK=0,Fremdkapital*(1-$A98/Laufzeit_FK),MAX(0,Fremdkapital*(1+Zins_FK)^$A98-KD_FK_Jahr*((1+Zins_FK)^$A98-1)/Zins_FK)))),"")</f>
        <v/>
      </c>
      <c r="R98" s="57" t="str">
        <f aca="false">IF($B98=1,1/(1+Diskontsatz)^$A98,"")</f>
        <v/>
      </c>
      <c r="S98" s="54" t="str">
        <f aca="false">IF($B98=1,K98*R98,"")</f>
        <v/>
      </c>
      <c r="T98" s="18" t="str">
        <f aca="false">IF($B98=1,IF(K98&lt;0,$A98,""),"")</f>
        <v/>
      </c>
    </row>
    <row r="99" customFormat="false" ht="15" hidden="false" customHeight="false" outlineLevel="0" collapsed="false">
      <c r="A99" s="18" t="n">
        <f aca="false">A98+1</f>
        <v>95</v>
      </c>
      <c r="B99" s="18" t="n">
        <f aca="false">IF($A99&lt;=Horizont,1,0)</f>
        <v>0</v>
      </c>
      <c r="C99" s="20" t="str">
        <f aca="false">IF($B99=1,Miete*(1+Mietsteigerung)^($A99-1),"")</f>
        <v/>
      </c>
      <c r="D99" s="20" t="str">
        <f aca="false">IF($B99=1,Bewirtschaftung*(1+Kostensteigerung)^($A99-1),"")</f>
        <v/>
      </c>
      <c r="E99" s="19" t="str">
        <f aca="false">IF($B99=1,C99*Flaeche*12/1000000,"")</f>
        <v/>
      </c>
      <c r="F99" s="19" t="str">
        <f aca="false">IF($B99=1,D99*Flaeche*12/1000000,"")</f>
        <v/>
      </c>
      <c r="G99" s="19" t="str">
        <f aca="false">IF($B99=1,E99-F99,"")</f>
        <v/>
      </c>
      <c r="H99" s="19" t="str">
        <f aca="false">IF($B99=1,IF(OR(Nur_Zinsen=1,$A99&lt;=Laufzeit_EK),KD_EK_Jahr,0),"")</f>
        <v/>
      </c>
      <c r="I99" s="19" t="str">
        <f aca="false">IF($B99=1,IF(OR(Nur_Zinsen=1,$A99&lt;=Laufzeit_FK),KD_FK_Jahr,0),"")</f>
        <v/>
      </c>
      <c r="J99" s="19" t="str">
        <f aca="false">IF($B99=1,H99+I99,"")</f>
        <v/>
      </c>
      <c r="K99" s="54" t="str">
        <f aca="false">IF($B99=1,G99-J99,"")</f>
        <v/>
      </c>
      <c r="L99" s="55" t="str">
        <f aca="false">IF($B99=1,K99*1000000/Flaeche/12,"")</f>
        <v/>
      </c>
      <c r="M99" s="56" t="str">
        <f aca="false">IF($B99=1,K99*1000000/Wohnungen/12,"")</f>
        <v/>
      </c>
      <c r="N99" s="56" t="str">
        <f aca="false">IF($B99=1,N98+K99,"")</f>
        <v/>
      </c>
      <c r="O99" s="54" t="str">
        <f aca="false">IF($B99=1,G99-I99,"")</f>
        <v/>
      </c>
      <c r="P99" s="15" t="str">
        <f aca="false">IF($B99=1,IF(Nur_Zinsen=1,Eigenkapital,IF($A99&gt;=Laufzeit_EK,0,IF(Zins_EK=0,Eigenkapital*(1-$A99/Laufzeit_EK),MAX(0,Eigenkapital*(1+Zins_EK)^$A99-KD_EK_Jahr*((1+Zins_EK)^$A99-1)/Zins_EK)))),"")</f>
        <v/>
      </c>
      <c r="Q99" s="15" t="str">
        <f aca="false">IF($B99=1,IF(Nur_Zinsen=1,Fremdkapital,IF($A99&gt;=Laufzeit_FK,0,IF(Zins_FK=0,Fremdkapital*(1-$A99/Laufzeit_FK),MAX(0,Fremdkapital*(1+Zins_FK)^$A99-KD_FK_Jahr*((1+Zins_FK)^$A99-1)/Zins_FK)))),"")</f>
        <v/>
      </c>
      <c r="R99" s="57" t="str">
        <f aca="false">IF($B99=1,1/(1+Diskontsatz)^$A99,"")</f>
        <v/>
      </c>
      <c r="S99" s="54" t="str">
        <f aca="false">IF($B99=1,K99*R99,"")</f>
        <v/>
      </c>
      <c r="T99" s="18" t="str">
        <f aca="false">IF($B99=1,IF(K99&lt;0,$A99,""),"")</f>
        <v/>
      </c>
    </row>
    <row r="100" customFormat="false" ht="15" hidden="false" customHeight="false" outlineLevel="0" collapsed="false">
      <c r="A100" s="18" t="n">
        <f aca="false">A99+1</f>
        <v>96</v>
      </c>
      <c r="B100" s="18" t="n">
        <f aca="false">IF($A100&lt;=Horizont,1,0)</f>
        <v>0</v>
      </c>
      <c r="C100" s="20" t="str">
        <f aca="false">IF($B100=1,Miete*(1+Mietsteigerung)^($A100-1),"")</f>
        <v/>
      </c>
      <c r="D100" s="20" t="str">
        <f aca="false">IF($B100=1,Bewirtschaftung*(1+Kostensteigerung)^($A100-1),"")</f>
        <v/>
      </c>
      <c r="E100" s="19" t="str">
        <f aca="false">IF($B100=1,C100*Flaeche*12/1000000,"")</f>
        <v/>
      </c>
      <c r="F100" s="19" t="str">
        <f aca="false">IF($B100=1,D100*Flaeche*12/1000000,"")</f>
        <v/>
      </c>
      <c r="G100" s="19" t="str">
        <f aca="false">IF($B100=1,E100-F100,"")</f>
        <v/>
      </c>
      <c r="H100" s="19" t="str">
        <f aca="false">IF($B100=1,IF(OR(Nur_Zinsen=1,$A100&lt;=Laufzeit_EK),KD_EK_Jahr,0),"")</f>
        <v/>
      </c>
      <c r="I100" s="19" t="str">
        <f aca="false">IF($B100=1,IF(OR(Nur_Zinsen=1,$A100&lt;=Laufzeit_FK),KD_FK_Jahr,0),"")</f>
        <v/>
      </c>
      <c r="J100" s="19" t="str">
        <f aca="false">IF($B100=1,H100+I100,"")</f>
        <v/>
      </c>
      <c r="K100" s="54" t="str">
        <f aca="false">IF($B100=1,G100-J100,"")</f>
        <v/>
      </c>
      <c r="L100" s="55" t="str">
        <f aca="false">IF($B100=1,K100*1000000/Flaeche/12,"")</f>
        <v/>
      </c>
      <c r="M100" s="56" t="str">
        <f aca="false">IF($B100=1,K100*1000000/Wohnungen/12,"")</f>
        <v/>
      </c>
      <c r="N100" s="56" t="str">
        <f aca="false">IF($B100=1,N99+K100,"")</f>
        <v/>
      </c>
      <c r="O100" s="54" t="str">
        <f aca="false">IF($B100=1,G100-I100,"")</f>
        <v/>
      </c>
      <c r="P100" s="15" t="str">
        <f aca="false">IF($B100=1,IF(Nur_Zinsen=1,Eigenkapital,IF($A100&gt;=Laufzeit_EK,0,IF(Zins_EK=0,Eigenkapital*(1-$A100/Laufzeit_EK),MAX(0,Eigenkapital*(1+Zins_EK)^$A100-KD_EK_Jahr*((1+Zins_EK)^$A100-1)/Zins_EK)))),"")</f>
        <v/>
      </c>
      <c r="Q100" s="15" t="str">
        <f aca="false">IF($B100=1,IF(Nur_Zinsen=1,Fremdkapital,IF($A100&gt;=Laufzeit_FK,0,IF(Zins_FK=0,Fremdkapital*(1-$A100/Laufzeit_FK),MAX(0,Fremdkapital*(1+Zins_FK)^$A100-KD_FK_Jahr*((1+Zins_FK)^$A100-1)/Zins_FK)))),"")</f>
        <v/>
      </c>
      <c r="R100" s="57" t="str">
        <f aca="false">IF($B100=1,1/(1+Diskontsatz)^$A100,"")</f>
        <v/>
      </c>
      <c r="S100" s="54" t="str">
        <f aca="false">IF($B100=1,K100*R100,"")</f>
        <v/>
      </c>
      <c r="T100" s="18" t="str">
        <f aca="false">IF($B100=1,IF(K100&lt;0,$A100,""),"")</f>
        <v/>
      </c>
    </row>
    <row r="101" customFormat="false" ht="15" hidden="false" customHeight="false" outlineLevel="0" collapsed="false">
      <c r="A101" s="18" t="n">
        <f aca="false">A100+1</f>
        <v>97</v>
      </c>
      <c r="B101" s="18" t="n">
        <f aca="false">IF($A101&lt;=Horizont,1,0)</f>
        <v>0</v>
      </c>
      <c r="C101" s="20" t="str">
        <f aca="false">IF($B101=1,Miete*(1+Mietsteigerung)^($A101-1),"")</f>
        <v/>
      </c>
      <c r="D101" s="20" t="str">
        <f aca="false">IF($B101=1,Bewirtschaftung*(1+Kostensteigerung)^($A101-1),"")</f>
        <v/>
      </c>
      <c r="E101" s="19" t="str">
        <f aca="false">IF($B101=1,C101*Flaeche*12/1000000,"")</f>
        <v/>
      </c>
      <c r="F101" s="19" t="str">
        <f aca="false">IF($B101=1,D101*Flaeche*12/1000000,"")</f>
        <v/>
      </c>
      <c r="G101" s="19" t="str">
        <f aca="false">IF($B101=1,E101-F101,"")</f>
        <v/>
      </c>
      <c r="H101" s="19" t="str">
        <f aca="false">IF($B101=1,IF(OR(Nur_Zinsen=1,$A101&lt;=Laufzeit_EK),KD_EK_Jahr,0),"")</f>
        <v/>
      </c>
      <c r="I101" s="19" t="str">
        <f aca="false">IF($B101=1,IF(OR(Nur_Zinsen=1,$A101&lt;=Laufzeit_FK),KD_FK_Jahr,0),"")</f>
        <v/>
      </c>
      <c r="J101" s="19" t="str">
        <f aca="false">IF($B101=1,H101+I101,"")</f>
        <v/>
      </c>
      <c r="K101" s="54" t="str">
        <f aca="false">IF($B101=1,G101-J101,"")</f>
        <v/>
      </c>
      <c r="L101" s="55" t="str">
        <f aca="false">IF($B101=1,K101*1000000/Flaeche/12,"")</f>
        <v/>
      </c>
      <c r="M101" s="56" t="str">
        <f aca="false">IF($B101=1,K101*1000000/Wohnungen/12,"")</f>
        <v/>
      </c>
      <c r="N101" s="56" t="str">
        <f aca="false">IF($B101=1,N100+K101,"")</f>
        <v/>
      </c>
      <c r="O101" s="54" t="str">
        <f aca="false">IF($B101=1,G101-I101,"")</f>
        <v/>
      </c>
      <c r="P101" s="15" t="str">
        <f aca="false">IF($B101=1,IF(Nur_Zinsen=1,Eigenkapital,IF($A101&gt;=Laufzeit_EK,0,IF(Zins_EK=0,Eigenkapital*(1-$A101/Laufzeit_EK),MAX(0,Eigenkapital*(1+Zins_EK)^$A101-KD_EK_Jahr*((1+Zins_EK)^$A101-1)/Zins_EK)))),"")</f>
        <v/>
      </c>
      <c r="Q101" s="15" t="str">
        <f aca="false">IF($B101=1,IF(Nur_Zinsen=1,Fremdkapital,IF($A101&gt;=Laufzeit_FK,0,IF(Zins_FK=0,Fremdkapital*(1-$A101/Laufzeit_FK),MAX(0,Fremdkapital*(1+Zins_FK)^$A101-KD_FK_Jahr*((1+Zins_FK)^$A101-1)/Zins_FK)))),"")</f>
        <v/>
      </c>
      <c r="R101" s="57" t="str">
        <f aca="false">IF($B101=1,1/(1+Diskontsatz)^$A101,"")</f>
        <v/>
      </c>
      <c r="S101" s="54" t="str">
        <f aca="false">IF($B101=1,K101*R101,"")</f>
        <v/>
      </c>
      <c r="T101" s="18" t="str">
        <f aca="false">IF($B101=1,IF(K101&lt;0,$A101,""),"")</f>
        <v/>
      </c>
    </row>
    <row r="102" customFormat="false" ht="15" hidden="false" customHeight="false" outlineLevel="0" collapsed="false">
      <c r="A102" s="18" t="n">
        <f aca="false">A101+1</f>
        <v>98</v>
      </c>
      <c r="B102" s="18" t="n">
        <f aca="false">IF($A102&lt;=Horizont,1,0)</f>
        <v>0</v>
      </c>
      <c r="C102" s="20" t="str">
        <f aca="false">IF($B102=1,Miete*(1+Mietsteigerung)^($A102-1),"")</f>
        <v/>
      </c>
      <c r="D102" s="20" t="str">
        <f aca="false">IF($B102=1,Bewirtschaftung*(1+Kostensteigerung)^($A102-1),"")</f>
        <v/>
      </c>
      <c r="E102" s="19" t="str">
        <f aca="false">IF($B102=1,C102*Flaeche*12/1000000,"")</f>
        <v/>
      </c>
      <c r="F102" s="19" t="str">
        <f aca="false">IF($B102=1,D102*Flaeche*12/1000000,"")</f>
        <v/>
      </c>
      <c r="G102" s="19" t="str">
        <f aca="false">IF($B102=1,E102-F102,"")</f>
        <v/>
      </c>
      <c r="H102" s="19" t="str">
        <f aca="false">IF($B102=1,IF(OR(Nur_Zinsen=1,$A102&lt;=Laufzeit_EK),KD_EK_Jahr,0),"")</f>
        <v/>
      </c>
      <c r="I102" s="19" t="str">
        <f aca="false">IF($B102=1,IF(OR(Nur_Zinsen=1,$A102&lt;=Laufzeit_FK),KD_FK_Jahr,0),"")</f>
        <v/>
      </c>
      <c r="J102" s="19" t="str">
        <f aca="false">IF($B102=1,H102+I102,"")</f>
        <v/>
      </c>
      <c r="K102" s="54" t="str">
        <f aca="false">IF($B102=1,G102-J102,"")</f>
        <v/>
      </c>
      <c r="L102" s="55" t="str">
        <f aca="false">IF($B102=1,K102*1000000/Flaeche/12,"")</f>
        <v/>
      </c>
      <c r="M102" s="56" t="str">
        <f aca="false">IF($B102=1,K102*1000000/Wohnungen/12,"")</f>
        <v/>
      </c>
      <c r="N102" s="56" t="str">
        <f aca="false">IF($B102=1,N101+K102,"")</f>
        <v/>
      </c>
      <c r="O102" s="54" t="str">
        <f aca="false">IF($B102=1,G102-I102,"")</f>
        <v/>
      </c>
      <c r="P102" s="15" t="str">
        <f aca="false">IF($B102=1,IF(Nur_Zinsen=1,Eigenkapital,IF($A102&gt;=Laufzeit_EK,0,IF(Zins_EK=0,Eigenkapital*(1-$A102/Laufzeit_EK),MAX(0,Eigenkapital*(1+Zins_EK)^$A102-KD_EK_Jahr*((1+Zins_EK)^$A102-1)/Zins_EK)))),"")</f>
        <v/>
      </c>
      <c r="Q102" s="15" t="str">
        <f aca="false">IF($B102=1,IF(Nur_Zinsen=1,Fremdkapital,IF($A102&gt;=Laufzeit_FK,0,IF(Zins_FK=0,Fremdkapital*(1-$A102/Laufzeit_FK),MAX(0,Fremdkapital*(1+Zins_FK)^$A102-KD_FK_Jahr*((1+Zins_FK)^$A102-1)/Zins_FK)))),"")</f>
        <v/>
      </c>
      <c r="R102" s="57" t="str">
        <f aca="false">IF($B102=1,1/(1+Diskontsatz)^$A102,"")</f>
        <v/>
      </c>
      <c r="S102" s="54" t="str">
        <f aca="false">IF($B102=1,K102*R102,"")</f>
        <v/>
      </c>
      <c r="T102" s="18" t="str">
        <f aca="false">IF($B102=1,IF(K102&lt;0,$A102,""),"")</f>
        <v/>
      </c>
    </row>
    <row r="103" customFormat="false" ht="15" hidden="false" customHeight="false" outlineLevel="0" collapsed="false">
      <c r="A103" s="18" t="n">
        <f aca="false">A102+1</f>
        <v>99</v>
      </c>
      <c r="B103" s="18" t="n">
        <f aca="false">IF($A103&lt;=Horizont,1,0)</f>
        <v>0</v>
      </c>
      <c r="C103" s="20" t="str">
        <f aca="false">IF($B103=1,Miete*(1+Mietsteigerung)^($A103-1),"")</f>
        <v/>
      </c>
      <c r="D103" s="20" t="str">
        <f aca="false">IF($B103=1,Bewirtschaftung*(1+Kostensteigerung)^($A103-1),"")</f>
        <v/>
      </c>
      <c r="E103" s="19" t="str">
        <f aca="false">IF($B103=1,C103*Flaeche*12/1000000,"")</f>
        <v/>
      </c>
      <c r="F103" s="19" t="str">
        <f aca="false">IF($B103=1,D103*Flaeche*12/1000000,"")</f>
        <v/>
      </c>
      <c r="G103" s="19" t="str">
        <f aca="false">IF($B103=1,E103-F103,"")</f>
        <v/>
      </c>
      <c r="H103" s="19" t="str">
        <f aca="false">IF($B103=1,IF(OR(Nur_Zinsen=1,$A103&lt;=Laufzeit_EK),KD_EK_Jahr,0),"")</f>
        <v/>
      </c>
      <c r="I103" s="19" t="str">
        <f aca="false">IF($B103=1,IF(OR(Nur_Zinsen=1,$A103&lt;=Laufzeit_FK),KD_FK_Jahr,0),"")</f>
        <v/>
      </c>
      <c r="J103" s="19" t="str">
        <f aca="false">IF($B103=1,H103+I103,"")</f>
        <v/>
      </c>
      <c r="K103" s="54" t="str">
        <f aca="false">IF($B103=1,G103-J103,"")</f>
        <v/>
      </c>
      <c r="L103" s="55" t="str">
        <f aca="false">IF($B103=1,K103*1000000/Flaeche/12,"")</f>
        <v/>
      </c>
      <c r="M103" s="56" t="str">
        <f aca="false">IF($B103=1,K103*1000000/Wohnungen/12,"")</f>
        <v/>
      </c>
      <c r="N103" s="56" t="str">
        <f aca="false">IF($B103=1,N102+K103,"")</f>
        <v/>
      </c>
      <c r="O103" s="54" t="str">
        <f aca="false">IF($B103=1,G103-I103,"")</f>
        <v/>
      </c>
      <c r="P103" s="15" t="str">
        <f aca="false">IF($B103=1,IF(Nur_Zinsen=1,Eigenkapital,IF($A103&gt;=Laufzeit_EK,0,IF(Zins_EK=0,Eigenkapital*(1-$A103/Laufzeit_EK),MAX(0,Eigenkapital*(1+Zins_EK)^$A103-KD_EK_Jahr*((1+Zins_EK)^$A103-1)/Zins_EK)))),"")</f>
        <v/>
      </c>
      <c r="Q103" s="15" t="str">
        <f aca="false">IF($B103=1,IF(Nur_Zinsen=1,Fremdkapital,IF($A103&gt;=Laufzeit_FK,0,IF(Zins_FK=0,Fremdkapital*(1-$A103/Laufzeit_FK),MAX(0,Fremdkapital*(1+Zins_FK)^$A103-KD_FK_Jahr*((1+Zins_FK)^$A103-1)/Zins_FK)))),"")</f>
        <v/>
      </c>
      <c r="R103" s="57" t="str">
        <f aca="false">IF($B103=1,1/(1+Diskontsatz)^$A103,"")</f>
        <v/>
      </c>
      <c r="S103" s="54" t="str">
        <f aca="false">IF($B103=1,K103*R103,"")</f>
        <v/>
      </c>
      <c r="T103" s="18" t="str">
        <f aca="false">IF($B103=1,IF(K103&lt;0,$A103,""),"")</f>
        <v/>
      </c>
    </row>
    <row r="104" customFormat="false" ht="15" hidden="false" customHeight="false" outlineLevel="0" collapsed="false">
      <c r="A104" s="18" t="n">
        <f aca="false">A103+1</f>
        <v>100</v>
      </c>
      <c r="B104" s="18" t="n">
        <f aca="false">IF($A104&lt;=Horizont,1,0)</f>
        <v>0</v>
      </c>
      <c r="C104" s="20" t="str">
        <f aca="false">IF($B104=1,Miete*(1+Mietsteigerung)^($A104-1),"")</f>
        <v/>
      </c>
      <c r="D104" s="20" t="str">
        <f aca="false">IF($B104=1,Bewirtschaftung*(1+Kostensteigerung)^($A104-1),"")</f>
        <v/>
      </c>
      <c r="E104" s="19" t="str">
        <f aca="false">IF($B104=1,C104*Flaeche*12/1000000,"")</f>
        <v/>
      </c>
      <c r="F104" s="19" t="str">
        <f aca="false">IF($B104=1,D104*Flaeche*12/1000000,"")</f>
        <v/>
      </c>
      <c r="G104" s="19" t="str">
        <f aca="false">IF($B104=1,E104-F104,"")</f>
        <v/>
      </c>
      <c r="H104" s="19" t="str">
        <f aca="false">IF($B104=1,IF(OR(Nur_Zinsen=1,$A104&lt;=Laufzeit_EK),KD_EK_Jahr,0),"")</f>
        <v/>
      </c>
      <c r="I104" s="19" t="str">
        <f aca="false">IF($B104=1,IF(OR(Nur_Zinsen=1,$A104&lt;=Laufzeit_FK),KD_FK_Jahr,0),"")</f>
        <v/>
      </c>
      <c r="J104" s="19" t="str">
        <f aca="false">IF($B104=1,H104+I104,"")</f>
        <v/>
      </c>
      <c r="K104" s="54" t="str">
        <f aca="false">IF($B104=1,G104-J104,"")</f>
        <v/>
      </c>
      <c r="L104" s="55" t="str">
        <f aca="false">IF($B104=1,K104*1000000/Flaeche/12,"")</f>
        <v/>
      </c>
      <c r="M104" s="56" t="str">
        <f aca="false">IF($B104=1,K104*1000000/Wohnungen/12,"")</f>
        <v/>
      </c>
      <c r="N104" s="56" t="str">
        <f aca="false">IF($B104=1,N103+K104,"")</f>
        <v/>
      </c>
      <c r="O104" s="54" t="str">
        <f aca="false">IF($B104=1,G104-I104,"")</f>
        <v/>
      </c>
      <c r="P104" s="15" t="str">
        <f aca="false">IF($B104=1,IF(Nur_Zinsen=1,Eigenkapital,IF($A104&gt;=Laufzeit_EK,0,IF(Zins_EK=0,Eigenkapital*(1-$A104/Laufzeit_EK),MAX(0,Eigenkapital*(1+Zins_EK)^$A104-KD_EK_Jahr*((1+Zins_EK)^$A104-1)/Zins_EK)))),"")</f>
        <v/>
      </c>
      <c r="Q104" s="15" t="str">
        <f aca="false">IF($B104=1,IF(Nur_Zinsen=1,Fremdkapital,IF($A104&gt;=Laufzeit_FK,0,IF(Zins_FK=0,Fremdkapital*(1-$A104/Laufzeit_FK),MAX(0,Fremdkapital*(1+Zins_FK)^$A104-KD_FK_Jahr*((1+Zins_FK)^$A104-1)/Zins_FK)))),"")</f>
        <v/>
      </c>
      <c r="R104" s="57" t="str">
        <f aca="false">IF($B104=1,1/(1+Diskontsatz)^$A104,"")</f>
        <v/>
      </c>
      <c r="S104" s="54" t="str">
        <f aca="false">IF($B104=1,K104*R104,"")</f>
        <v/>
      </c>
      <c r="T104" s="18" t="str">
        <f aca="false">IF($B104=1,IF(K104&lt;0,$A104,""),"")</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40"/>
  </cols>
  <sheetData>
    <row r="1" customFormat="false" ht="17.35" hidden="false" customHeight="false" outlineLevel="0" collapsed="false">
      <c r="B1" s="6" t="s">
        <v>160</v>
      </c>
    </row>
    <row r="3" customFormat="false" ht="35.05" hidden="false" customHeight="false" outlineLevel="0" collapsed="false">
      <c r="B3" s="3" t="s">
        <v>161</v>
      </c>
    </row>
    <row r="4" customFormat="false" ht="15" hidden="false" customHeight="false" outlineLevel="0" collapsed="false">
      <c r="B4" s="3" t="s">
        <v>162</v>
      </c>
    </row>
    <row r="5" customFormat="false" ht="15" hidden="false" customHeight="false" outlineLevel="0" collapsed="false">
      <c r="B5" s="3" t="s">
        <v>163</v>
      </c>
    </row>
    <row r="6" customFormat="false" ht="15" hidden="false" customHeight="false" outlineLevel="0" collapsed="false">
      <c r="B6" s="3" t="s">
        <v>164</v>
      </c>
    </row>
    <row r="7" customFormat="false" ht="15" hidden="false" customHeight="false" outlineLevel="0" collapsed="false">
      <c r="B7" s="3" t="s">
        <v>165</v>
      </c>
    </row>
    <row r="8" customFormat="false" ht="15" hidden="false" customHeight="false" outlineLevel="0" collapsed="false">
      <c r="B8" s="3" t="s">
        <v>166</v>
      </c>
    </row>
    <row r="9" customFormat="false" ht="15" hidden="false" customHeight="false" outlineLevel="0" collapsed="false">
      <c r="B9" s="3" t="s">
        <v>167</v>
      </c>
    </row>
    <row r="10" customFormat="false" ht="15" hidden="false" customHeight="false" outlineLevel="0" collapsed="false">
      <c r="B10" s="3" t="s">
        <v>168</v>
      </c>
    </row>
    <row r="11" customFormat="false" ht="15" hidden="false" customHeight="false" outlineLevel="0" collapsed="false">
      <c r="B11" s="3" t="s">
        <v>169</v>
      </c>
    </row>
    <row r="12" customFormat="false" ht="15" hidden="false" customHeight="false" outlineLevel="0" collapsed="false">
      <c r="B12" s="3" t="s">
        <v>170</v>
      </c>
    </row>
    <row r="13" customFormat="false" ht="15" hidden="false" customHeight="false" outlineLevel="0" collapsed="false">
      <c r="B13" s="3" t="s">
        <v>171</v>
      </c>
    </row>
    <row r="14" customFormat="false" ht="15" hidden="false" customHeight="false" outlineLevel="0" collapsed="false">
      <c r="B14" s="3" t="s">
        <v>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2026-10-27T06:48:43Z</dcterms:created>
  <dc:creator>openpyxl</dc:creator>
  <dc:description/>
  <dc:language>en-US</dc:language>
  <cp:lastModifiedBy/>
  <dcterms:modified xsi:type="dcterms:W3CDTF">2026-10-27T06:48:43Z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